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A8D5CEEC-5900-454A-8CCB-980111C983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24" r:id="rId1"/>
  </sheets>
  <definedNames>
    <definedName name="_xlnm.Print_Titles" localSheetId="0">'2025'!$3:$6</definedName>
    <definedName name="_xlnm.Print_Area" localSheetId="0">'2025'!$A$1:$Q$86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24" l="1"/>
  <c r="O48" i="24"/>
  <c r="O49" i="24"/>
  <c r="O50" i="24"/>
  <c r="O51" i="24"/>
  <c r="O52" i="24"/>
  <c r="O53" i="24"/>
  <c r="O54" i="24"/>
  <c r="O55" i="24"/>
  <c r="O56" i="24"/>
  <c r="O46" i="24"/>
  <c r="O39" i="24"/>
  <c r="O58" i="24"/>
  <c r="N46" i="24"/>
  <c r="P49" i="24"/>
  <c r="P50" i="24"/>
  <c r="P51" i="24"/>
  <c r="P52" i="24"/>
  <c r="P53" i="24"/>
  <c r="P54" i="24"/>
  <c r="P55" i="24"/>
  <c r="P56" i="24"/>
  <c r="P48" i="24"/>
  <c r="P47" i="24"/>
  <c r="P46" i="24"/>
  <c r="P66" i="24"/>
  <c r="P72" i="24"/>
  <c r="P71" i="24"/>
  <c r="P70" i="24"/>
  <c r="P69" i="24"/>
  <c r="P68" i="24"/>
  <c r="P67" i="24"/>
  <c r="P18" i="24"/>
  <c r="N18" i="24"/>
  <c r="P45" i="24"/>
  <c r="P44" i="24"/>
  <c r="N45" i="24"/>
  <c r="N44" i="24"/>
  <c r="J17" i="24" l="1"/>
  <c r="N17" i="24" s="1"/>
  <c r="P74" i="24"/>
  <c r="P73" i="24"/>
  <c r="P64" i="24"/>
  <c r="P58" i="24"/>
  <c r="P40" i="24"/>
  <c r="P39" i="24"/>
  <c r="P32" i="24"/>
  <c r="P31" i="24"/>
  <c r="P30" i="24"/>
  <c r="P29" i="24"/>
  <c r="P28" i="24"/>
  <c r="P27" i="24"/>
  <c r="P26" i="24"/>
  <c r="P25" i="24"/>
  <c r="P24" i="24"/>
  <c r="K86" i="24"/>
  <c r="L86" i="24"/>
  <c r="J85" i="24"/>
  <c r="J84" i="24"/>
  <c r="J83" i="24"/>
  <c r="J82" i="24"/>
  <c r="K80" i="24"/>
  <c r="L80" i="24"/>
  <c r="J79" i="24"/>
  <c r="J78" i="24"/>
  <c r="J77" i="24"/>
  <c r="J76" i="24"/>
  <c r="I85" i="24"/>
  <c r="I84" i="24"/>
  <c r="I83" i="24"/>
  <c r="I82" i="24"/>
  <c r="I79" i="24"/>
  <c r="I78" i="24"/>
  <c r="I77" i="24"/>
  <c r="I76" i="24"/>
  <c r="O73" i="24"/>
  <c r="J37" i="24"/>
  <c r="I37" i="24"/>
  <c r="J36" i="24"/>
  <c r="I36" i="24"/>
  <c r="J35" i="24"/>
  <c r="I35" i="24"/>
  <c r="J34" i="24"/>
  <c r="I34" i="24"/>
  <c r="J38" i="24"/>
  <c r="I38" i="24"/>
  <c r="N61" i="24"/>
  <c r="N62" i="24"/>
  <c r="N63" i="24"/>
  <c r="M42" i="24"/>
  <c r="N55" i="24"/>
  <c r="M55" i="24"/>
  <c r="P80" i="24" l="1"/>
  <c r="N38" i="24"/>
  <c r="N37" i="24"/>
  <c r="P86" i="24"/>
  <c r="N36" i="24"/>
  <c r="N35" i="24"/>
  <c r="N34" i="24"/>
  <c r="M23" i="24"/>
  <c r="N23" i="24"/>
  <c r="O23" i="24"/>
  <c r="P23" i="24"/>
  <c r="M24" i="24"/>
  <c r="N24" i="24"/>
  <c r="O24" i="24"/>
  <c r="M25" i="24"/>
  <c r="N25" i="24"/>
  <c r="O25" i="24"/>
  <c r="M26" i="24"/>
  <c r="N26" i="24"/>
  <c r="M27" i="24"/>
  <c r="N27" i="24"/>
  <c r="P22" i="24"/>
  <c r="O22" i="24"/>
  <c r="N22" i="24"/>
  <c r="M22" i="24"/>
  <c r="P41" i="24"/>
  <c r="M40" i="24"/>
  <c r="N40" i="24"/>
  <c r="O40" i="24"/>
  <c r="M41" i="24"/>
  <c r="N41" i="24"/>
  <c r="O41" i="24"/>
  <c r="N42" i="24"/>
  <c r="O42" i="24"/>
  <c r="P42" i="24"/>
  <c r="M43" i="24"/>
  <c r="N43" i="24"/>
  <c r="O43" i="24"/>
  <c r="P43" i="24"/>
  <c r="N39" i="24"/>
  <c r="M39" i="24"/>
  <c r="N15" i="24"/>
  <c r="N14" i="24"/>
  <c r="N74" i="24"/>
  <c r="M74" i="24"/>
  <c r="O74" i="24"/>
  <c r="P59" i="24"/>
  <c r="P60" i="24"/>
  <c r="O59" i="24"/>
  <c r="O60" i="24"/>
  <c r="P8" i="24"/>
  <c r="N8" i="24"/>
  <c r="M8" i="24"/>
  <c r="M9" i="24"/>
  <c r="N9" i="24"/>
  <c r="P9" i="24"/>
  <c r="M10" i="24"/>
  <c r="N10" i="24"/>
  <c r="P10" i="24"/>
  <c r="M11" i="24"/>
  <c r="N11" i="24"/>
  <c r="P11" i="24"/>
  <c r="M12" i="24"/>
  <c r="N12" i="24"/>
  <c r="P12" i="24"/>
  <c r="M13" i="24"/>
  <c r="N13" i="24"/>
  <c r="P13" i="24"/>
  <c r="M14" i="24"/>
  <c r="P14" i="24"/>
  <c r="M15" i="24"/>
  <c r="P15" i="24"/>
  <c r="M16" i="24"/>
  <c r="N16" i="24"/>
  <c r="P16" i="24"/>
  <c r="M19" i="24"/>
  <c r="N19" i="24"/>
  <c r="O19" i="24"/>
  <c r="P19" i="24"/>
  <c r="H86" i="24"/>
  <c r="G86" i="24"/>
  <c r="O86" i="24" s="1"/>
  <c r="F85" i="24"/>
  <c r="E85" i="24"/>
  <c r="M85" i="24" s="1"/>
  <c r="F84" i="24"/>
  <c r="E84" i="24"/>
  <c r="M84" i="24" s="1"/>
  <c r="F83" i="24"/>
  <c r="E83" i="24"/>
  <c r="M83" i="24" s="1"/>
  <c r="F82" i="24"/>
  <c r="E82" i="24"/>
  <c r="M82" i="24" s="1"/>
  <c r="O80" i="24"/>
  <c r="H80" i="24"/>
  <c r="F79" i="24"/>
  <c r="E79" i="24"/>
  <c r="M79" i="24" s="1"/>
  <c r="F78" i="24"/>
  <c r="E78" i="24"/>
  <c r="M78" i="24" s="1"/>
  <c r="F77" i="24"/>
  <c r="E77" i="24"/>
  <c r="M77" i="24" s="1"/>
  <c r="F76" i="24"/>
  <c r="E76" i="24"/>
  <c r="M76" i="24" s="1"/>
  <c r="T74" i="24"/>
  <c r="S74" i="24"/>
  <c r="G64" i="24"/>
  <c r="O64" i="24" s="1"/>
  <c r="F63" i="24"/>
  <c r="M63" i="24" s="1"/>
  <c r="E63" i="24"/>
  <c r="F62" i="24"/>
  <c r="M62" i="24" s="1"/>
  <c r="E62" i="24"/>
  <c r="F61" i="24"/>
  <c r="M61" i="24" s="1"/>
  <c r="E61" i="24"/>
  <c r="N56" i="24"/>
  <c r="M56" i="24"/>
  <c r="N54" i="24"/>
  <c r="M54" i="24"/>
  <c r="N53" i="24"/>
  <c r="M53" i="24"/>
  <c r="N52" i="24"/>
  <c r="M52" i="24"/>
  <c r="N51" i="24"/>
  <c r="M51" i="24"/>
  <c r="N50" i="24"/>
  <c r="M50" i="24"/>
  <c r="N49" i="24"/>
  <c r="M49" i="24"/>
  <c r="N48" i="24"/>
  <c r="M48" i="24"/>
  <c r="N47" i="24"/>
  <c r="M47" i="24"/>
  <c r="M46" i="24"/>
  <c r="E38" i="24"/>
  <c r="F38" i="24" s="1"/>
  <c r="M38" i="24" s="1"/>
  <c r="S37" i="24"/>
  <c r="F37" i="24"/>
  <c r="M37" i="24" s="1"/>
  <c r="E37" i="24"/>
  <c r="C37" i="24"/>
  <c r="S36" i="24"/>
  <c r="F36" i="24"/>
  <c r="M36" i="24" s="1"/>
  <c r="E36" i="24"/>
  <c r="C36" i="24"/>
  <c r="S35" i="24"/>
  <c r="F35" i="24"/>
  <c r="M35" i="24" s="1"/>
  <c r="E35" i="24"/>
  <c r="C35" i="24"/>
  <c r="S34" i="24"/>
  <c r="F34" i="24"/>
  <c r="M34" i="24" s="1"/>
  <c r="E34" i="24"/>
  <c r="C34" i="24"/>
  <c r="S33" i="24"/>
  <c r="F33" i="24"/>
  <c r="E33" i="24"/>
  <c r="C33" i="24"/>
  <c r="N32" i="24"/>
  <c r="M32" i="24"/>
  <c r="G32" i="24"/>
  <c r="G31" i="24"/>
  <c r="O31" i="24" s="1"/>
  <c r="G30" i="24"/>
  <c r="O30" i="24" s="1"/>
  <c r="H29" i="24"/>
  <c r="H30" i="24" s="1"/>
  <c r="G29" i="24"/>
  <c r="O29" i="24" s="1"/>
  <c r="F29" i="24"/>
  <c r="E29" i="24"/>
  <c r="E30" i="24" s="1"/>
  <c r="N28" i="24"/>
  <c r="M28" i="24"/>
  <c r="G28" i="24"/>
  <c r="H27" i="24"/>
  <c r="O27" i="24" s="1"/>
  <c r="G27" i="24"/>
  <c r="H26" i="24"/>
  <c r="O26" i="24" s="1"/>
  <c r="G26" i="24"/>
  <c r="H16" i="24"/>
  <c r="O16" i="24" s="1"/>
  <c r="G16" i="24"/>
  <c r="H15" i="24"/>
  <c r="O15" i="24" s="1"/>
  <c r="G15" i="24"/>
  <c r="H14" i="24"/>
  <c r="O14" i="24" s="1"/>
  <c r="G14" i="24"/>
  <c r="H13" i="24"/>
  <c r="O13" i="24" s="1"/>
  <c r="G13" i="24"/>
  <c r="H12" i="24"/>
  <c r="O12" i="24" s="1"/>
  <c r="G12" i="24"/>
  <c r="H11" i="24"/>
  <c r="O11" i="24" s="1"/>
  <c r="G11" i="24"/>
  <c r="F17" i="24"/>
  <c r="M17" i="24" s="1"/>
  <c r="E17" i="24"/>
  <c r="C17" i="24"/>
  <c r="H10" i="24"/>
  <c r="O10" i="24" s="1"/>
  <c r="G10" i="24"/>
  <c r="H9" i="24"/>
  <c r="O9" i="24" s="1"/>
  <c r="G9" i="24"/>
  <c r="H8" i="24"/>
  <c r="O8" i="24" s="1"/>
  <c r="G8" i="24"/>
  <c r="N77" i="24" l="1"/>
  <c r="N84" i="24"/>
  <c r="N79" i="24"/>
  <c r="N83" i="24"/>
  <c r="N76" i="24"/>
  <c r="N82" i="24"/>
  <c r="N85" i="24"/>
  <c r="O28" i="24"/>
  <c r="N78" i="24"/>
  <c r="N29" i="24"/>
  <c r="M30" i="24"/>
  <c r="E31" i="24"/>
  <c r="M31" i="24" s="1"/>
  <c r="O32" i="24"/>
  <c r="M29" i="24"/>
  <c r="F30" i="24"/>
  <c r="F31" i="24" l="1"/>
  <c r="N30" i="24"/>
  <c r="N31" i="24" l="1"/>
  <c r="H31" i="24"/>
</calcChain>
</file>

<file path=xl/sharedStrings.xml><?xml version="1.0" encoding="utf-8"?>
<sst xmlns="http://schemas.openxmlformats.org/spreadsheetml/2006/main" count="165" uniqueCount="136">
  <si>
    <t>Наименование услуги</t>
  </si>
  <si>
    <t>Населенные пункты</t>
  </si>
  <si>
    <t>юридические лица</t>
  </si>
  <si>
    <t>население</t>
  </si>
  <si>
    <t>д.Шапша (газ)</t>
  </si>
  <si>
    <t>с.Цингалы (газ)</t>
  </si>
  <si>
    <t>п.Выкатной (газ)</t>
  </si>
  <si>
    <t>п.Сибирский (газ)</t>
  </si>
  <si>
    <t xml:space="preserve"> с.Тюли (уголь)</t>
  </si>
  <si>
    <t xml:space="preserve"> п.Луговской, с.Троица,    д.Белогорье (газ)</t>
  </si>
  <si>
    <t>-</t>
  </si>
  <si>
    <t>Тарифы на тепловую энергию, руб./Гкал</t>
  </si>
  <si>
    <t>% роста</t>
  </si>
  <si>
    <t xml:space="preserve"> МП «ЖЭК-3»</t>
  </si>
  <si>
    <t>с НДС</t>
  </si>
  <si>
    <t>п.Кедровый, с.Елизарово, п.Красноленинский, п.Урманный (уголь)</t>
  </si>
  <si>
    <t>с.Кышик, с.Нялинское, п.Пырьях(уголь)</t>
  </si>
  <si>
    <t>с.Батово (газ)</t>
  </si>
  <si>
    <t>Примечание</t>
  </si>
  <si>
    <t>Тариф на водоотведение,  руб./куб. м (КОС)</t>
  </si>
  <si>
    <r>
      <t xml:space="preserve">п.Горноправдинск </t>
    </r>
    <r>
      <rPr>
        <b/>
        <sz val="10"/>
        <color theme="1"/>
        <rFont val="Times New Roman"/>
        <family val="1"/>
        <charset val="204"/>
      </rPr>
      <t>(очистка сточных вод)</t>
    </r>
  </si>
  <si>
    <r>
      <t xml:space="preserve">сп.Шапша д. Ярки, </t>
    </r>
    <r>
      <rPr>
        <b/>
        <sz val="10"/>
        <color theme="1"/>
        <rFont val="Times New Roman"/>
        <family val="1"/>
        <charset val="204"/>
      </rPr>
      <t>(прием, транспортировка, очистка сточных вод)</t>
    </r>
  </si>
  <si>
    <r>
      <t xml:space="preserve">сп. Цингалы                                        </t>
    </r>
    <r>
      <rPr>
        <b/>
        <sz val="10"/>
        <color theme="1"/>
        <rFont val="Times New Roman"/>
        <family val="1"/>
        <charset val="204"/>
      </rPr>
      <t>(прием, транспортировка, очистка сточных вод)</t>
    </r>
  </si>
  <si>
    <t>сп. Красноленинский, сп. Цингалы, сп. Сибирский (п.Сибирский)</t>
  </si>
  <si>
    <t xml:space="preserve">сп. Шапша(д.Шапша, д.Ярки) </t>
  </si>
  <si>
    <t xml:space="preserve">сп. Кедровый </t>
  </si>
  <si>
    <t xml:space="preserve">сп. Выкатной </t>
  </si>
  <si>
    <r>
      <t xml:space="preserve">Тариф на услуги по доставке (подвозу) питьевой воды автотранспортом для МП «ЖЭК-3»   </t>
    </r>
    <r>
      <rPr>
        <b/>
        <sz val="10"/>
        <color theme="1"/>
        <rFont val="Times New Roman"/>
        <family val="1"/>
        <charset val="204"/>
      </rPr>
      <t>(подъем воды, водоподготовка, транспортировка воды автомобильным транспортом)</t>
    </r>
  </si>
  <si>
    <t>Тарифы на холодное водоснабжение,  руб./куб. м</t>
  </si>
  <si>
    <t>сп. Горноправдинск</t>
  </si>
  <si>
    <r>
      <t>сп Горноправдинск (</t>
    </r>
    <r>
      <rPr>
        <b/>
        <sz val="10"/>
        <color theme="1"/>
        <rFont val="Times New Roman"/>
        <family val="1"/>
        <charset val="204"/>
      </rPr>
      <t>прием, транспортировка, очистка сточных вод</t>
    </r>
    <r>
      <rPr>
        <sz val="10"/>
        <color theme="1"/>
        <rFont val="Times New Roman"/>
        <family val="1"/>
        <charset val="204"/>
      </rPr>
      <t>)</t>
    </r>
  </si>
  <si>
    <t>Тарифы на горячую воду (с НДС)</t>
  </si>
  <si>
    <t>п.Кирпичный (газ)</t>
  </si>
  <si>
    <t xml:space="preserve"> п. Горноправдинск, сп. Горноправдинск
</t>
  </si>
  <si>
    <t>с. Елизарово, сп. Кедровый</t>
  </si>
  <si>
    <t>п. Кедровый, сп. Кедровый</t>
  </si>
  <si>
    <t>п. Луговской, сп. Луговской</t>
  </si>
  <si>
    <t>с. Нялинское, сп. Нялинское</t>
  </si>
  <si>
    <t xml:space="preserve">Тариф на услуги по утилизации и захоронению ТКО, руб./куб. м
</t>
  </si>
  <si>
    <t>с. Кышик, сп. Кышик</t>
  </si>
  <si>
    <t xml:space="preserve">юридические лица </t>
  </si>
  <si>
    <t xml:space="preserve">население </t>
  </si>
  <si>
    <r>
      <t xml:space="preserve">сп. Горноправдинск </t>
    </r>
    <r>
      <rPr>
        <sz val="10"/>
        <color theme="1"/>
        <rFont val="Times New Roman"/>
        <family val="1"/>
        <charset val="204"/>
      </rPr>
      <t>(подъем воды, водоподготовка)</t>
    </r>
  </si>
  <si>
    <r>
      <rPr>
        <b/>
        <sz val="10"/>
        <color theme="1"/>
        <rFont val="Times New Roman"/>
        <family val="1"/>
        <charset val="204"/>
      </rPr>
      <t>Ханты-Мансийский район</t>
    </r>
    <r>
      <rPr>
        <sz val="10"/>
        <color theme="1"/>
        <rFont val="Times New Roman"/>
        <family val="1"/>
        <charset val="204"/>
      </rPr>
      <t xml:space="preserve"> (подъем воды, водоподготовка, транспортировка воды)</t>
    </r>
  </si>
  <si>
    <r>
      <rPr>
        <b/>
        <sz val="10"/>
        <color theme="1"/>
        <rFont val="Times New Roman"/>
        <family val="1"/>
        <charset val="204"/>
      </rPr>
      <t>Ханты-Мансийский район</t>
    </r>
    <r>
      <rPr>
        <sz val="10"/>
        <color theme="1"/>
        <rFont val="Times New Roman"/>
        <family val="1"/>
        <charset val="204"/>
      </rPr>
      <t xml:space="preserve"> (подъем воды, водоподготовка)</t>
    </r>
  </si>
  <si>
    <r>
      <rPr>
        <b/>
        <sz val="10"/>
        <color theme="1"/>
        <rFont val="Times New Roman"/>
        <family val="1"/>
        <charset val="204"/>
      </rPr>
      <t>Ханты-Мансийский район</t>
    </r>
    <r>
      <rPr>
        <sz val="10"/>
        <color theme="1"/>
        <rFont val="Times New Roman"/>
        <family val="1"/>
        <charset val="204"/>
      </rPr>
      <t xml:space="preserve"> техническая вода(подъем воды)</t>
    </r>
  </si>
  <si>
    <r>
      <rPr>
        <b/>
        <sz val="10"/>
        <color theme="1"/>
        <rFont val="Times New Roman"/>
        <family val="1"/>
        <charset val="204"/>
      </rPr>
      <t>Ханты-Мансийский район</t>
    </r>
    <r>
      <rPr>
        <sz val="10"/>
        <color theme="1"/>
        <rFont val="Times New Roman"/>
        <family val="1"/>
        <charset val="204"/>
      </rPr>
      <t xml:space="preserve"> техническая вода(подъем воды, транспортировка воды)</t>
    </r>
  </si>
  <si>
    <t>сп. Горноправдинск (газ)</t>
  </si>
  <si>
    <t xml:space="preserve">сп. Горноправдинск (компонент на теплоноситель (руб./м3)/компонент на тепловую энергию руб./Гкал)                                                                                                                                                                                                                             </t>
  </si>
  <si>
    <t>2023 год</t>
  </si>
  <si>
    <t>с 01.01.2023 по 31.12.2023</t>
  </si>
  <si>
    <r>
      <t>сп Шапша (д. Ярки),  сп Луговской (п. Кирпичный),   сп Нялинское, сп. Цингалы</t>
    </r>
    <r>
      <rPr>
        <b/>
        <sz val="10"/>
        <color theme="1"/>
        <rFont val="Times New Roman"/>
        <family val="1"/>
        <charset val="204"/>
      </rPr>
      <t xml:space="preserve"> (очистка сточных вод)</t>
    </r>
  </si>
  <si>
    <t>27,66/2327,36</t>
  </si>
  <si>
    <t>141,17/4048,26</t>
  </si>
  <si>
    <t>с 01.01.2024 по 30.06.2024</t>
  </si>
  <si>
    <t xml:space="preserve">Тарифы
на услуги по сбору и вывозу жидких бытовых отходов для МП «ЖЭК-3» 
</t>
  </si>
  <si>
    <t>сп Горноправдинск (п. Горноправдинск, п.Бобровский)</t>
  </si>
  <si>
    <t>сп Луговской (п. Кирпичный, п. Луговской, с. Троица)</t>
  </si>
  <si>
    <t>сп. Цингалы</t>
  </si>
  <si>
    <t>сп. Красноленинский</t>
  </si>
  <si>
    <t>сп. Селиярово</t>
  </si>
  <si>
    <t>сп. Нялинское (с. Нялинское, п. Пырьях)</t>
  </si>
  <si>
    <t>сп. Кышик</t>
  </si>
  <si>
    <t>сп Кедровый (. Кедровый, с. Елизарово)</t>
  </si>
  <si>
    <t>сп. Сибирский</t>
  </si>
  <si>
    <t>сп. Шапша (д. Шапша, д. Ярки)</t>
  </si>
  <si>
    <t>сп. Выкатной (п. Выкатной, с. Тюли)</t>
  </si>
  <si>
    <t>с 01.07.2024 по 31.12.2024</t>
  </si>
  <si>
    <r>
      <t xml:space="preserve">сп. Горноправдинск </t>
    </r>
    <r>
      <rPr>
        <sz val="10"/>
        <color theme="1"/>
        <rFont val="Times New Roman"/>
        <family val="1"/>
        <charset val="204"/>
      </rPr>
      <t>(подъем, водоподготовка, транспортировка воды)</t>
    </r>
  </si>
  <si>
    <t xml:space="preserve">п. Выкатной компонент на теплоноситель (руб./м3)/компонент на тепловую энергию руб./Гкал) </t>
  </si>
  <si>
    <t>2024 год</t>
  </si>
  <si>
    <t>30,31/2449,36</t>
  </si>
  <si>
    <t>153,72/4436,80</t>
  </si>
  <si>
    <t>Тариф на электрическую энергию, руб./Квт.ч</t>
  </si>
  <si>
    <t>Одноставочный</t>
  </si>
  <si>
    <t>Дневная зона</t>
  </si>
  <si>
    <t>Ночная зона</t>
  </si>
  <si>
    <t>Тариф на электрическую энергию по децентрализованной зоне, руб./Квт.ч</t>
  </si>
  <si>
    <t>Цена на сжиженный газ, руб./кг</t>
  </si>
  <si>
    <t>На территории Ханты-Мансийского района ООО "Центр Отопительной Техники"</t>
  </si>
  <si>
    <t>Розничная цена на природный газ на бытовые нужды, руб./  1000куб. м</t>
  </si>
  <si>
    <t>На территории Ханты-Мансийского района (средневзвешенная цена)</t>
  </si>
  <si>
    <t>п.Горноправдинск, п.Бобровский</t>
  </si>
  <si>
    <t>п.Цингалы</t>
  </si>
  <si>
    <t>п. Сибирский, с.Реполово, с.Батово</t>
  </si>
  <si>
    <t>д. Ярки, д.Шапша,</t>
  </si>
  <si>
    <t xml:space="preserve">п.Выкатной </t>
  </si>
  <si>
    <t>п. Луговской</t>
  </si>
  <si>
    <t>д.Белогорье, с. Троица, п.Кирпичный</t>
  </si>
  <si>
    <t>Розничные цены на топливо твердое (дрова), руб/куб м ( реализация населению)</t>
  </si>
  <si>
    <t>На территории Ханты-Мансийского района</t>
  </si>
  <si>
    <t xml:space="preserve">Обращение с ТКО </t>
  </si>
  <si>
    <t>На территории Ханты-Мансийского района (АО "Югра-Экология")</t>
  </si>
  <si>
    <t>Тарифы на услуги по транспортировке газа по газораспределительным сетям МП "ЖЭК-3", руб./  1000куб. м</t>
  </si>
  <si>
    <r>
      <rPr>
        <b/>
        <sz val="10"/>
        <rFont val="Times New Roman"/>
        <family val="1"/>
        <charset val="204"/>
      </rPr>
      <t xml:space="preserve">Ханты-Мансийский район </t>
    </r>
    <r>
      <rPr>
        <sz val="10"/>
        <rFont val="Times New Roman"/>
        <family val="1"/>
        <charset val="204"/>
      </rPr>
      <t>(кроме сп. Горноправдинск)</t>
    </r>
  </si>
  <si>
    <t>от 1 до 10 млн. м3/год</t>
  </si>
  <si>
    <t>от 0,1 до 1 млн. м3/год</t>
  </si>
  <si>
    <t>от 0,01 до 0,1 млн. м3/год</t>
  </si>
  <si>
    <t>до 0,01</t>
  </si>
  <si>
    <t>п. Горноправдинск и п. Бобровский</t>
  </si>
  <si>
    <t>Иные тарифы</t>
  </si>
  <si>
    <t>Приказ ФАС от 16.11.2022 № 828/22 (зарегистрированно в Минюсте России 30.11.2022 № 71280)</t>
  </si>
  <si>
    <t>2025 год</t>
  </si>
  <si>
    <t>с 01.01.2025 по 30.06.2025</t>
  </si>
  <si>
    <t>с 01.07.2025 по 31.12.2025</t>
  </si>
  <si>
    <t>Информация по тарифам на жилищно-коммунальные услуги на территории Ханты-Мансийского района на 2025 год</t>
  </si>
  <si>
    <t>с 01.07.2025 (гр8/гр7)</t>
  </si>
  <si>
    <t>с 01.01.2025 (гр9/гр6)</t>
  </si>
  <si>
    <t>с 01.07.2025 (гр10/гр9)</t>
  </si>
  <si>
    <t>Приказ РСТ ХМАО-Югры № 75-нп от 29.11.2024</t>
  </si>
  <si>
    <t>Приказ РСТ ХМАО-Югры № 124-нп от 13.12.2024</t>
  </si>
  <si>
    <t>Приказ РСТ ХМАО-Югры № 74-нп от 29.11.2024</t>
  </si>
  <si>
    <t>Приказ РСТ ХМАО- Югры №86-нп от 24.11.2022 (в редакции приказа РСТ ХМАО № 100-нп от 05.12.2024)</t>
  </si>
  <si>
    <t>Приказ РСТ ХМАО-Югры № 111-нп от 10.12.2024</t>
  </si>
  <si>
    <t>Приказ РСТ ХМАО-Югры № 103-нп от 05.12.2024</t>
  </si>
  <si>
    <t>Приказ РСТ ХМАО-Югры № 106-нп от 10.12.2020 (в редакции приказа № 104-нп от 05.12.2024)</t>
  </si>
  <si>
    <t>Приказ РСТ ХМАО-Югры № 72-нп от 17.11.2022 (в редакции приказа № 104-нп от 05.12.2024)</t>
  </si>
  <si>
    <t>33,02/2669,78</t>
  </si>
  <si>
    <t>Приказ РСТ ХМАО- Югры № 119-нп от 12.12.2023 (в редакции приказа № 118-нп от 12.12.2024)</t>
  </si>
  <si>
    <t>Приказ РСТ ХМАО- Югры № 101-нп от 29.12.2022 (в редакции приказа № 118-нп от 12.12.2024)</t>
  </si>
  <si>
    <t>167,54/4835,96</t>
  </si>
  <si>
    <t>108,99/                                                                                        108,99</t>
  </si>
  <si>
    <t>108,94/                                                                                                   108,99</t>
  </si>
  <si>
    <t>Приказ РСТ ХМАО- Югры № 58-нп от 21.11.2023 (в редакции приказа № 77-нп от 03.12.2024)</t>
  </si>
  <si>
    <t>Приказ РСТ ХМАО- Югры № 73-нп от 22.11.2022 (в редакции приказа № 77-нп от 03.12.2024)</t>
  </si>
  <si>
    <t>с 01.01.2025 (гр7/гр 4)</t>
  </si>
  <si>
    <t>Приказ РСТ ХМАО- Югры № 101-нп от 05.12.2024/ Постановление Администрации Ханты-Мансийского района № 40 от 23.01.2025</t>
  </si>
  <si>
    <t>расчет МП "ЖЭК-3"</t>
  </si>
  <si>
    <r>
      <t xml:space="preserve">сп.Шапша д. Шапша, </t>
    </r>
    <r>
      <rPr>
        <b/>
        <sz val="10"/>
        <color theme="1"/>
        <rFont val="Times New Roman"/>
        <family val="1"/>
        <charset val="204"/>
      </rPr>
      <t>(прием, транспортировка, очистка сточных вод)</t>
    </r>
  </si>
  <si>
    <r>
      <t xml:space="preserve">сп.Шапша д. Шапша, </t>
    </r>
    <r>
      <rPr>
        <b/>
        <sz val="10"/>
        <color theme="1"/>
        <rFont val="Times New Roman"/>
        <family val="1"/>
        <charset val="204"/>
      </rPr>
      <t>(очистка сточных вод)</t>
    </r>
  </si>
  <si>
    <t>Приказ РСТ ХМАО- Югры № 12-нп от 04.03.2025 (с 21.03.2025)</t>
  </si>
  <si>
    <t>д, Ярки (сп. Шапша) крышная котельная  ул. Сосноявая, д. 2)</t>
  </si>
  <si>
    <t>Приказ РСТ ХМАО- Югры № 39-нп от 29.04.2025</t>
  </si>
  <si>
    <t>Приказ РСТ ХМАО- Югры № 122-нп от 12.12.2024 / приказ АО "Югра-Экология" № 01-06-ЮЭ/201 от 19.12.2024</t>
  </si>
  <si>
    <t>Приказ РСТ ХМАО-Югры № 46-нп от 10.06.2025</t>
  </si>
  <si>
    <t>Постановление администрации Ханты-Мансийского района от 28.05.2025 № 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</si>
</sst>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164" fontId="0" fillId="0" borderId="0" xfId="0" applyNumberFormat="1"/>
    <xf numFmtId="0" fontId="3" fillId="0" borderId="37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" fontId="6" fillId="0" borderId="22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2" fillId="0" borderId="21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4" xfId="0" applyFont="1" applyBorder="1" applyAlignment="1">
      <alignment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2" fontId="4" fillId="0" borderId="41" xfId="0" applyNumberFormat="1" applyFont="1" applyBorder="1" applyAlignment="1">
      <alignment horizontal="center" vertical="center" wrapText="1"/>
    </xf>
    <xf numFmtId="2" fontId="4" fillId="0" borderId="42" xfId="0" applyNumberFormat="1" applyFont="1" applyBorder="1" applyAlignment="1">
      <alignment horizontal="left" vertical="center" wrapText="1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4" fillId="0" borderId="8" xfId="0" applyFont="1" applyBorder="1"/>
    <xf numFmtId="0" fontId="4" fillId="0" borderId="11" xfId="0" applyFont="1" applyBorder="1" applyAlignment="1">
      <alignment wrapText="1"/>
    </xf>
    <xf numFmtId="4" fontId="0" fillId="0" borderId="10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right" wrapText="1"/>
    </xf>
    <xf numFmtId="4" fontId="0" fillId="0" borderId="35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right"/>
    </xf>
    <xf numFmtId="0" fontId="8" fillId="0" borderId="8" xfId="0" applyFont="1" applyBorder="1" applyAlignment="1">
      <alignment wrapText="1"/>
    </xf>
    <xf numFmtId="0" fontId="4" fillId="0" borderId="11" xfId="0" applyFont="1" applyBorder="1"/>
    <xf numFmtId="4" fontId="0" fillId="0" borderId="36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0" fillId="0" borderId="5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2" fontId="6" fillId="0" borderId="38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top" wrapText="1"/>
    </xf>
    <xf numFmtId="4" fontId="6" fillId="0" borderId="59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58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4" fontId="6" fillId="0" borderId="57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60" xfId="0" applyNumberFormat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35" xfId="0" applyNumberFormat="1" applyFont="1" applyBorder="1" applyAlignment="1">
      <alignment horizontal="center" vertical="center" wrapText="1"/>
    </xf>
    <xf numFmtId="4" fontId="6" fillId="0" borderId="36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18" xfId="0" applyFont="1" applyBorder="1" applyAlignment="1">
      <alignment vertical="center" wrapText="1"/>
    </xf>
    <xf numFmtId="4" fontId="0" fillId="0" borderId="61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2" fontId="4" fillId="0" borderId="30" xfId="0" applyNumberFormat="1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921D-BEFA-4B2C-8D36-882D97485303}">
  <sheetPr>
    <tabColor rgb="FF92D050"/>
    <pageSetUpPr fitToPage="1"/>
  </sheetPr>
  <dimension ref="A1:T86"/>
  <sheetViews>
    <sheetView tabSelected="1" view="pageBreakPreview" zoomScale="80" zoomScaleNormal="90" zoomScaleSheetLayoutView="80" workbookViewId="0">
      <pane xSplit="1" ySplit="7" topLeftCell="B53" activePane="bottomRight" state="frozen"/>
      <selection pane="topRight" activeCell="B1" sqref="B1"/>
      <selection pane="bottomLeft" activeCell="A8" sqref="A8"/>
      <selection pane="bottomRight" activeCell="I56" sqref="I56"/>
    </sheetView>
  </sheetViews>
  <sheetFormatPr defaultRowHeight="15" x14ac:dyDescent="0.25"/>
  <cols>
    <col min="1" max="1" width="20.5703125" customWidth="1"/>
    <col min="2" max="2" width="20" customWidth="1"/>
    <col min="3" max="3" width="19.28515625" hidden="1" customWidth="1"/>
    <col min="4" max="4" width="18.42578125" hidden="1" customWidth="1"/>
    <col min="5" max="12" width="18.42578125" customWidth="1"/>
    <col min="13" max="13" width="11.140625" customWidth="1"/>
    <col min="14" max="15" width="11.5703125" customWidth="1"/>
    <col min="16" max="16" width="13.7109375" customWidth="1"/>
    <col min="17" max="17" width="23" customWidth="1"/>
  </cols>
  <sheetData>
    <row r="1" spans="1:17" x14ac:dyDescent="0.25">
      <c r="A1" s="152" t="s">
        <v>105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7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2" t="s">
        <v>14</v>
      </c>
    </row>
    <row r="3" spans="1:17" x14ac:dyDescent="0.25">
      <c r="A3" s="153" t="s">
        <v>0</v>
      </c>
      <c r="B3" s="155" t="s">
        <v>1</v>
      </c>
      <c r="C3" s="157" t="s">
        <v>49</v>
      </c>
      <c r="D3" s="158"/>
      <c r="E3" s="159" t="s">
        <v>70</v>
      </c>
      <c r="F3" s="160"/>
      <c r="G3" s="160"/>
      <c r="H3" s="157"/>
      <c r="I3" s="159" t="s">
        <v>102</v>
      </c>
      <c r="J3" s="160"/>
      <c r="K3" s="160"/>
      <c r="L3" s="157"/>
      <c r="M3" s="158" t="s">
        <v>12</v>
      </c>
      <c r="N3" s="158"/>
      <c r="O3" s="158"/>
      <c r="P3" s="155"/>
      <c r="Q3" s="161" t="s">
        <v>18</v>
      </c>
    </row>
    <row r="4" spans="1:17" x14ac:dyDescent="0.25">
      <c r="A4" s="154"/>
      <c r="B4" s="156"/>
      <c r="C4" s="11" t="s">
        <v>40</v>
      </c>
      <c r="D4" s="3" t="s">
        <v>41</v>
      </c>
      <c r="E4" s="164" t="s">
        <v>40</v>
      </c>
      <c r="F4" s="164"/>
      <c r="G4" s="164" t="s">
        <v>41</v>
      </c>
      <c r="H4" s="164"/>
      <c r="I4" s="164" t="s">
        <v>40</v>
      </c>
      <c r="J4" s="164"/>
      <c r="K4" s="164" t="s">
        <v>41</v>
      </c>
      <c r="L4" s="164"/>
      <c r="M4" s="164" t="s">
        <v>2</v>
      </c>
      <c r="N4" s="164"/>
      <c r="O4" s="164" t="s">
        <v>3</v>
      </c>
      <c r="P4" s="165"/>
      <c r="Q4" s="162"/>
    </row>
    <row r="5" spans="1:17" ht="66.75" customHeight="1" x14ac:dyDescent="0.25">
      <c r="A5" s="154"/>
      <c r="B5" s="156"/>
      <c r="C5" s="12" t="s">
        <v>50</v>
      </c>
      <c r="D5" s="4" t="s">
        <v>50</v>
      </c>
      <c r="E5" s="4" t="s">
        <v>54</v>
      </c>
      <c r="F5" s="4" t="s">
        <v>67</v>
      </c>
      <c r="G5" s="4" t="s">
        <v>54</v>
      </c>
      <c r="H5" s="4" t="s">
        <v>67</v>
      </c>
      <c r="I5" s="4" t="s">
        <v>103</v>
      </c>
      <c r="J5" s="4" t="s">
        <v>104</v>
      </c>
      <c r="K5" s="4" t="s">
        <v>103</v>
      </c>
      <c r="L5" s="4" t="s">
        <v>104</v>
      </c>
      <c r="M5" s="4" t="s">
        <v>125</v>
      </c>
      <c r="N5" s="4" t="s">
        <v>106</v>
      </c>
      <c r="O5" s="4" t="s">
        <v>107</v>
      </c>
      <c r="P5" s="8" t="s">
        <v>108</v>
      </c>
      <c r="Q5" s="163"/>
    </row>
    <row r="6" spans="1:17" ht="15.75" thickBot="1" x14ac:dyDescent="0.3">
      <c r="A6" s="5">
        <v>1</v>
      </c>
      <c r="B6" s="7">
        <v>2</v>
      </c>
      <c r="C6" s="13">
        <v>3</v>
      </c>
      <c r="D6" s="6">
        <v>4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</row>
    <row r="7" spans="1:17" ht="15.75" thickBot="1" x14ac:dyDescent="0.3">
      <c r="A7" s="149" t="s">
        <v>13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1"/>
      <c r="Q7" s="9"/>
    </row>
    <row r="8" spans="1:17" x14ac:dyDescent="0.25">
      <c r="A8" s="169" t="s">
        <v>11</v>
      </c>
      <c r="B8" s="15" t="s">
        <v>4</v>
      </c>
      <c r="C8" s="16">
        <v>3661.66</v>
      </c>
      <c r="D8" s="17">
        <v>3661.66</v>
      </c>
      <c r="E8" s="18">
        <v>3661.66</v>
      </c>
      <c r="F8" s="18">
        <v>4013.16</v>
      </c>
      <c r="G8" s="19">
        <f t="shared" ref="G8:H9" si="0">E8</f>
        <v>3661.66</v>
      </c>
      <c r="H8" s="19">
        <f t="shared" si="0"/>
        <v>4013.16</v>
      </c>
      <c r="I8" s="18">
        <v>4013.16</v>
      </c>
      <c r="J8" s="18">
        <v>4374.1899999999996</v>
      </c>
      <c r="K8" s="18">
        <v>4013.16</v>
      </c>
      <c r="L8" s="18">
        <v>4374.1899999999996</v>
      </c>
      <c r="M8" s="17">
        <f>I8/F8*100</f>
        <v>100</v>
      </c>
      <c r="N8" s="17">
        <f>J8/I8*100</f>
        <v>108.99615265775597</v>
      </c>
      <c r="O8" s="17">
        <f>K8/H8*100</f>
        <v>100</v>
      </c>
      <c r="P8" s="52">
        <f>L8/K8*100</f>
        <v>108.99615265775597</v>
      </c>
      <c r="Q8" s="173" t="s">
        <v>123</v>
      </c>
    </row>
    <row r="9" spans="1:17" x14ac:dyDescent="0.25">
      <c r="A9" s="170"/>
      <c r="B9" s="22" t="s">
        <v>5</v>
      </c>
      <c r="C9" s="23">
        <v>4547.2299999999996</v>
      </c>
      <c r="D9" s="24">
        <v>4547.2299999999996</v>
      </c>
      <c r="E9" s="25">
        <v>4547.2299999999996</v>
      </c>
      <c r="F9" s="25">
        <v>4583.05</v>
      </c>
      <c r="G9" s="25">
        <f t="shared" si="0"/>
        <v>4547.2299999999996</v>
      </c>
      <c r="H9" s="25">
        <f t="shared" si="0"/>
        <v>4583.05</v>
      </c>
      <c r="I9" s="25">
        <v>4583.05</v>
      </c>
      <c r="J9" s="25">
        <v>4848</v>
      </c>
      <c r="K9" s="25">
        <v>4583.05</v>
      </c>
      <c r="L9" s="25">
        <v>4848</v>
      </c>
      <c r="M9" s="24">
        <f t="shared" ref="M9:M19" si="1">I9/F9*100</f>
        <v>100</v>
      </c>
      <c r="N9" s="24">
        <f t="shared" ref="N9:N19" si="2">J9/I9*100</f>
        <v>105.7810846488692</v>
      </c>
      <c r="O9" s="24">
        <f t="shared" ref="O9:O19" si="3">K9/H9*100</f>
        <v>100</v>
      </c>
      <c r="P9" s="26">
        <f t="shared" ref="P9:P19" si="4">L9/K9*100</f>
        <v>105.7810846488692</v>
      </c>
      <c r="Q9" s="174"/>
    </row>
    <row r="10" spans="1:17" x14ac:dyDescent="0.25">
      <c r="A10" s="170"/>
      <c r="B10" s="22" t="s">
        <v>6</v>
      </c>
      <c r="C10" s="23">
        <v>4048.26</v>
      </c>
      <c r="D10" s="24">
        <v>4048.26</v>
      </c>
      <c r="E10" s="25">
        <v>4048.26</v>
      </c>
      <c r="F10" s="25">
        <v>4436.8</v>
      </c>
      <c r="G10" s="25">
        <f>E10</f>
        <v>4048.26</v>
      </c>
      <c r="H10" s="25">
        <f>F10</f>
        <v>4436.8</v>
      </c>
      <c r="I10" s="25">
        <v>4436.8</v>
      </c>
      <c r="J10" s="25">
        <v>4835.96</v>
      </c>
      <c r="K10" s="25">
        <v>4436.8</v>
      </c>
      <c r="L10" s="25">
        <v>4835.96</v>
      </c>
      <c r="M10" s="24">
        <f t="shared" si="1"/>
        <v>100</v>
      </c>
      <c r="N10" s="24">
        <f t="shared" si="2"/>
        <v>108.99657410746484</v>
      </c>
      <c r="O10" s="24">
        <f t="shared" si="3"/>
        <v>100</v>
      </c>
      <c r="P10" s="26">
        <f t="shared" si="4"/>
        <v>108.99657410746484</v>
      </c>
      <c r="Q10" s="174"/>
    </row>
    <row r="11" spans="1:17" x14ac:dyDescent="0.25">
      <c r="A11" s="170"/>
      <c r="B11" s="22" t="s">
        <v>7</v>
      </c>
      <c r="C11" s="23">
        <v>3795.88</v>
      </c>
      <c r="D11" s="24">
        <v>3795.88</v>
      </c>
      <c r="E11" s="25">
        <v>3795.88</v>
      </c>
      <c r="F11" s="25">
        <v>3807.37</v>
      </c>
      <c r="G11" s="25">
        <f t="shared" ref="G11:H16" si="5">E11</f>
        <v>3795.88</v>
      </c>
      <c r="H11" s="25">
        <f t="shared" si="5"/>
        <v>3807.37</v>
      </c>
      <c r="I11" s="25">
        <v>3807.37</v>
      </c>
      <c r="J11" s="25">
        <v>4149.8900000000003</v>
      </c>
      <c r="K11" s="25">
        <v>3807.37</v>
      </c>
      <c r="L11" s="25">
        <v>4149.8900000000003</v>
      </c>
      <c r="M11" s="24">
        <f t="shared" si="1"/>
        <v>100</v>
      </c>
      <c r="N11" s="24">
        <f t="shared" si="2"/>
        <v>108.9962362470682</v>
      </c>
      <c r="O11" s="24">
        <f t="shared" si="3"/>
        <v>100</v>
      </c>
      <c r="P11" s="26">
        <f t="shared" si="4"/>
        <v>108.9962362470682</v>
      </c>
      <c r="Q11" s="174"/>
    </row>
    <row r="12" spans="1:17" x14ac:dyDescent="0.25">
      <c r="A12" s="170"/>
      <c r="B12" s="22" t="s">
        <v>8</v>
      </c>
      <c r="C12" s="23">
        <v>8947.61</v>
      </c>
      <c r="D12" s="24">
        <v>8947.61</v>
      </c>
      <c r="E12" s="25">
        <v>8947.61</v>
      </c>
      <c r="F12" s="25">
        <v>9806.56</v>
      </c>
      <c r="G12" s="25">
        <f t="shared" si="5"/>
        <v>8947.61</v>
      </c>
      <c r="H12" s="25">
        <f t="shared" si="5"/>
        <v>9806.56</v>
      </c>
      <c r="I12" s="25">
        <v>9806.56</v>
      </c>
      <c r="J12" s="25">
        <v>10688.9</v>
      </c>
      <c r="K12" s="25">
        <v>9806.56</v>
      </c>
      <c r="L12" s="25">
        <v>10688.9</v>
      </c>
      <c r="M12" s="24">
        <f t="shared" si="1"/>
        <v>100</v>
      </c>
      <c r="N12" s="24">
        <f t="shared" si="2"/>
        <v>108.99744660716908</v>
      </c>
      <c r="O12" s="24">
        <f t="shared" si="3"/>
        <v>100</v>
      </c>
      <c r="P12" s="26">
        <f t="shared" si="4"/>
        <v>108.99744660716908</v>
      </c>
      <c r="Q12" s="174"/>
    </row>
    <row r="13" spans="1:17" x14ac:dyDescent="0.25">
      <c r="A13" s="170"/>
      <c r="B13" s="22" t="s">
        <v>32</v>
      </c>
      <c r="C13" s="23">
        <v>3414.7</v>
      </c>
      <c r="D13" s="24">
        <v>3414.7</v>
      </c>
      <c r="E13" s="25">
        <v>3414.7</v>
      </c>
      <c r="F13" s="25">
        <v>3709.91</v>
      </c>
      <c r="G13" s="25">
        <f t="shared" si="5"/>
        <v>3414.7</v>
      </c>
      <c r="H13" s="25">
        <f t="shared" si="5"/>
        <v>3709.91</v>
      </c>
      <c r="I13" s="25">
        <v>3709.91</v>
      </c>
      <c r="J13" s="25">
        <v>4043.75</v>
      </c>
      <c r="K13" s="25">
        <v>3709.91</v>
      </c>
      <c r="L13" s="25">
        <v>4043.75</v>
      </c>
      <c r="M13" s="24">
        <f t="shared" si="1"/>
        <v>100</v>
      </c>
      <c r="N13" s="24">
        <f t="shared" si="2"/>
        <v>108.99860104423018</v>
      </c>
      <c r="O13" s="24">
        <f t="shared" si="3"/>
        <v>100</v>
      </c>
      <c r="P13" s="26">
        <f t="shared" si="4"/>
        <v>108.99860104423018</v>
      </c>
      <c r="Q13" s="174"/>
    </row>
    <row r="14" spans="1:17" ht="39" customHeight="1" x14ac:dyDescent="0.25">
      <c r="A14" s="170"/>
      <c r="B14" s="22" t="s">
        <v>9</v>
      </c>
      <c r="C14" s="23">
        <v>3897.18</v>
      </c>
      <c r="D14" s="24">
        <v>3897.18</v>
      </c>
      <c r="E14" s="24">
        <v>3897.18</v>
      </c>
      <c r="F14" s="24">
        <v>3897.32</v>
      </c>
      <c r="G14" s="24">
        <f t="shared" si="5"/>
        <v>3897.18</v>
      </c>
      <c r="H14" s="24">
        <f t="shared" si="5"/>
        <v>3897.32</v>
      </c>
      <c r="I14" s="24">
        <v>3897.32</v>
      </c>
      <c r="J14" s="24">
        <v>3943.08</v>
      </c>
      <c r="K14" s="24">
        <v>3897.32</v>
      </c>
      <c r="L14" s="24">
        <v>3943.08</v>
      </c>
      <c r="M14" s="24">
        <f t="shared" si="1"/>
        <v>100</v>
      </c>
      <c r="N14" s="24">
        <f>J14/I14*100</f>
        <v>101.17414017837898</v>
      </c>
      <c r="O14" s="24">
        <f t="shared" si="3"/>
        <v>100</v>
      </c>
      <c r="P14" s="26">
        <f t="shared" si="4"/>
        <v>101.17414017837898</v>
      </c>
      <c r="Q14" s="174"/>
    </row>
    <row r="15" spans="1:17" ht="51" x14ac:dyDescent="0.25">
      <c r="A15" s="170"/>
      <c r="B15" s="22" t="s">
        <v>15</v>
      </c>
      <c r="C15" s="23">
        <v>5092.93</v>
      </c>
      <c r="D15" s="24">
        <v>5092.93</v>
      </c>
      <c r="E15" s="24">
        <v>5092.93</v>
      </c>
      <c r="F15" s="24">
        <v>5581.72</v>
      </c>
      <c r="G15" s="24">
        <f t="shared" si="5"/>
        <v>5092.93</v>
      </c>
      <c r="H15" s="24">
        <f t="shared" si="5"/>
        <v>5581.72</v>
      </c>
      <c r="I15" s="24">
        <v>5581.72</v>
      </c>
      <c r="J15" s="24">
        <v>6084.05</v>
      </c>
      <c r="K15" s="24">
        <v>5581.72</v>
      </c>
      <c r="L15" s="24">
        <v>6084.05</v>
      </c>
      <c r="M15" s="24">
        <f t="shared" si="1"/>
        <v>100</v>
      </c>
      <c r="N15" s="24">
        <f>J15/I15*100</f>
        <v>108.99955569251054</v>
      </c>
      <c r="O15" s="24">
        <f t="shared" si="3"/>
        <v>100</v>
      </c>
      <c r="P15" s="26">
        <f t="shared" si="4"/>
        <v>108.99955569251054</v>
      </c>
      <c r="Q15" s="174"/>
    </row>
    <row r="16" spans="1:17" ht="48.75" customHeight="1" x14ac:dyDescent="0.25">
      <c r="A16" s="170"/>
      <c r="B16" s="22" t="s">
        <v>16</v>
      </c>
      <c r="C16" s="23">
        <v>5938.84</v>
      </c>
      <c r="D16" s="24">
        <v>5938.84</v>
      </c>
      <c r="E16" s="24">
        <v>5938.84</v>
      </c>
      <c r="F16" s="24">
        <v>6506.53</v>
      </c>
      <c r="G16" s="24">
        <f t="shared" si="5"/>
        <v>5938.84</v>
      </c>
      <c r="H16" s="24">
        <f t="shared" si="5"/>
        <v>6506.53</v>
      </c>
      <c r="I16" s="24">
        <v>6506.53</v>
      </c>
      <c r="J16" s="24">
        <v>7091.94</v>
      </c>
      <c r="K16" s="24">
        <v>6506.53</v>
      </c>
      <c r="L16" s="24">
        <v>7091.94</v>
      </c>
      <c r="M16" s="24">
        <f t="shared" si="1"/>
        <v>100</v>
      </c>
      <c r="N16" s="24">
        <f t="shared" si="2"/>
        <v>108.99726889755368</v>
      </c>
      <c r="O16" s="24">
        <f t="shared" si="3"/>
        <v>100</v>
      </c>
      <c r="P16" s="26">
        <f t="shared" si="4"/>
        <v>108.99726889755368</v>
      </c>
      <c r="Q16" s="174"/>
    </row>
    <row r="17" spans="1:18" x14ac:dyDescent="0.25">
      <c r="A17" s="171"/>
      <c r="B17" s="22" t="s">
        <v>17</v>
      </c>
      <c r="C17" s="23">
        <f>4530.46*1.2</f>
        <v>5436.5519999999997</v>
      </c>
      <c r="D17" s="24"/>
      <c r="E17" s="25">
        <f>4530.46*1.2</f>
        <v>5436.5519999999997</v>
      </c>
      <c r="F17" s="25">
        <f>4946.61*1.2</f>
        <v>5935.9319999999998</v>
      </c>
      <c r="G17" s="25"/>
      <c r="H17" s="25"/>
      <c r="I17" s="25">
        <v>11561.26</v>
      </c>
      <c r="J17" s="25">
        <f>I17</f>
        <v>11561.26</v>
      </c>
      <c r="K17" s="25"/>
      <c r="L17" s="25"/>
      <c r="M17" s="24">
        <f>I17/F17*100</f>
        <v>194.76739288792393</v>
      </c>
      <c r="N17" s="24">
        <f>J17/I17*100</f>
        <v>100</v>
      </c>
      <c r="O17" s="24"/>
      <c r="P17" s="26"/>
      <c r="Q17" s="31" t="s">
        <v>127</v>
      </c>
    </row>
    <row r="18" spans="1:18" ht="44.25" customHeight="1" x14ac:dyDescent="0.25">
      <c r="A18" s="171"/>
      <c r="B18" s="131" t="s">
        <v>131</v>
      </c>
      <c r="C18" s="132"/>
      <c r="D18" s="64"/>
      <c r="E18" s="64"/>
      <c r="F18" s="64"/>
      <c r="G18" s="64"/>
      <c r="H18" s="64"/>
      <c r="I18" s="24">
        <v>6673.78</v>
      </c>
      <c r="J18" s="24">
        <v>6673.78</v>
      </c>
      <c r="K18" s="24">
        <v>6673.78</v>
      </c>
      <c r="L18" s="24">
        <v>6673.78</v>
      </c>
      <c r="M18" s="24"/>
      <c r="N18" s="24">
        <f t="shared" si="2"/>
        <v>100</v>
      </c>
      <c r="O18" s="24"/>
      <c r="P18" s="26">
        <f t="shared" si="4"/>
        <v>100</v>
      </c>
      <c r="Q18" s="200" t="s">
        <v>132</v>
      </c>
    </row>
    <row r="19" spans="1:18" ht="99" customHeight="1" thickBot="1" x14ac:dyDescent="0.3">
      <c r="A19" s="172"/>
      <c r="B19" s="27" t="s">
        <v>47</v>
      </c>
      <c r="C19" s="28">
        <v>2327.36</v>
      </c>
      <c r="D19" s="29">
        <v>2327.36</v>
      </c>
      <c r="E19" s="29">
        <v>2327.36</v>
      </c>
      <c r="F19" s="29">
        <v>2449.36</v>
      </c>
      <c r="G19" s="29">
        <v>2327.36</v>
      </c>
      <c r="H19" s="29">
        <v>2449.36</v>
      </c>
      <c r="I19" s="111">
        <v>2449.36</v>
      </c>
      <c r="J19" s="111">
        <v>2669.78</v>
      </c>
      <c r="K19" s="111">
        <v>2449.36</v>
      </c>
      <c r="L19" s="111">
        <v>2669.78</v>
      </c>
      <c r="M19" s="14">
        <f t="shared" si="1"/>
        <v>100</v>
      </c>
      <c r="N19" s="14">
        <f t="shared" si="2"/>
        <v>108.99908547538951</v>
      </c>
      <c r="O19" s="14">
        <f t="shared" si="3"/>
        <v>100</v>
      </c>
      <c r="P19" s="30">
        <f t="shared" si="4"/>
        <v>108.99908547538951</v>
      </c>
      <c r="Q19" s="199" t="s">
        <v>124</v>
      </c>
    </row>
    <row r="20" spans="1:18" ht="86.25" customHeight="1" x14ac:dyDescent="0.25">
      <c r="A20" s="175" t="s">
        <v>31</v>
      </c>
      <c r="B20" s="112" t="s">
        <v>48</v>
      </c>
      <c r="C20" s="43" t="s">
        <v>52</v>
      </c>
      <c r="D20" s="43" t="s">
        <v>52</v>
      </c>
      <c r="E20" s="43" t="s">
        <v>52</v>
      </c>
      <c r="F20" s="43" t="s">
        <v>71</v>
      </c>
      <c r="G20" s="43" t="s">
        <v>52</v>
      </c>
      <c r="H20" s="43" t="s">
        <v>71</v>
      </c>
      <c r="I20" s="43" t="s">
        <v>71</v>
      </c>
      <c r="J20" s="43" t="s">
        <v>117</v>
      </c>
      <c r="K20" s="43" t="s">
        <v>71</v>
      </c>
      <c r="L20" s="43" t="s">
        <v>117</v>
      </c>
      <c r="M20" s="43">
        <v>100</v>
      </c>
      <c r="N20" s="43" t="s">
        <v>122</v>
      </c>
      <c r="O20" s="43">
        <v>100</v>
      </c>
      <c r="P20" s="43" t="s">
        <v>122</v>
      </c>
      <c r="Q20" s="32" t="s">
        <v>118</v>
      </c>
    </row>
    <row r="21" spans="1:18" ht="83.25" customHeight="1" thickBot="1" x14ac:dyDescent="0.3">
      <c r="A21" s="172"/>
      <c r="B21" s="33" t="s">
        <v>69</v>
      </c>
      <c r="C21" s="34" t="s">
        <v>53</v>
      </c>
      <c r="D21" s="34"/>
      <c r="E21" s="64" t="s">
        <v>53</v>
      </c>
      <c r="F21" s="64" t="s">
        <v>72</v>
      </c>
      <c r="G21" s="64"/>
      <c r="H21" s="64"/>
      <c r="I21" s="64" t="s">
        <v>72</v>
      </c>
      <c r="J21" s="64" t="s">
        <v>120</v>
      </c>
      <c r="K21" s="64"/>
      <c r="L21" s="64"/>
      <c r="M21" s="64">
        <v>100</v>
      </c>
      <c r="N21" s="64" t="s">
        <v>121</v>
      </c>
      <c r="O21" s="64"/>
      <c r="P21" s="113"/>
      <c r="Q21" s="36" t="s">
        <v>119</v>
      </c>
    </row>
    <row r="22" spans="1:18" ht="60.75" customHeight="1" x14ac:dyDescent="0.25">
      <c r="A22" s="176" t="s">
        <v>28</v>
      </c>
      <c r="B22" s="37" t="s">
        <v>43</v>
      </c>
      <c r="C22" s="17">
        <v>141.16999999999999</v>
      </c>
      <c r="D22" s="114">
        <v>141.16999999999999</v>
      </c>
      <c r="E22" s="16">
        <v>141.16999999999999</v>
      </c>
      <c r="F22" s="17">
        <v>153.72</v>
      </c>
      <c r="G22" s="17">
        <v>141.16999999999999</v>
      </c>
      <c r="H22" s="17">
        <v>153.72</v>
      </c>
      <c r="I22" s="20">
        <v>153.72</v>
      </c>
      <c r="J22" s="20">
        <v>167.54</v>
      </c>
      <c r="K22" s="20">
        <v>153.72</v>
      </c>
      <c r="L22" s="20">
        <v>167.54</v>
      </c>
      <c r="M22" s="17">
        <f>I22/F22*100</f>
        <v>100</v>
      </c>
      <c r="N22" s="17">
        <f>J22/I22*100</f>
        <v>108.99037210512621</v>
      </c>
      <c r="O22" s="17">
        <f>K22/H22*100</f>
        <v>100</v>
      </c>
      <c r="P22" s="52">
        <f>L22/K22*100</f>
        <v>108.99037210512621</v>
      </c>
      <c r="Q22" s="161" t="s">
        <v>112</v>
      </c>
    </row>
    <row r="23" spans="1:18" ht="39.75" customHeight="1" x14ac:dyDescent="0.25">
      <c r="A23" s="177"/>
      <c r="B23" s="38" t="s">
        <v>44</v>
      </c>
      <c r="C23" s="24">
        <v>106.01</v>
      </c>
      <c r="D23" s="115">
        <v>106.01</v>
      </c>
      <c r="E23" s="23">
        <v>106.01</v>
      </c>
      <c r="F23" s="24">
        <v>115.18</v>
      </c>
      <c r="G23" s="24">
        <v>106.01</v>
      </c>
      <c r="H23" s="24">
        <v>115.19</v>
      </c>
      <c r="I23" s="24">
        <v>115.19</v>
      </c>
      <c r="J23" s="24">
        <v>125.54</v>
      </c>
      <c r="K23" s="24">
        <v>115.19</v>
      </c>
      <c r="L23" s="24">
        <v>125.54</v>
      </c>
      <c r="M23" s="24">
        <f t="shared" ref="M23:M27" si="6">I23/F23*100</f>
        <v>100.00868206285813</v>
      </c>
      <c r="N23" s="24">
        <f t="shared" ref="N23:N27" si="7">J23/I23*100</f>
        <v>108.98515496136818</v>
      </c>
      <c r="O23" s="24">
        <f t="shared" ref="O23:O27" si="8">K23/H23*100</f>
        <v>100</v>
      </c>
      <c r="P23" s="26">
        <f t="shared" ref="P23" si="9">L23/K23*100</f>
        <v>108.98515496136818</v>
      </c>
      <c r="Q23" s="162"/>
    </row>
    <row r="24" spans="1:18" ht="51.75" customHeight="1" x14ac:dyDescent="0.25">
      <c r="A24" s="177"/>
      <c r="B24" s="39" t="s">
        <v>45</v>
      </c>
      <c r="C24" s="24">
        <v>49.7</v>
      </c>
      <c r="D24" s="115">
        <v>49.7</v>
      </c>
      <c r="E24" s="23">
        <v>49.7</v>
      </c>
      <c r="F24" s="24">
        <v>54.47</v>
      </c>
      <c r="G24" s="24">
        <v>49.7</v>
      </c>
      <c r="H24" s="24">
        <v>54.47</v>
      </c>
      <c r="I24" s="24">
        <v>54.47</v>
      </c>
      <c r="J24" s="24">
        <v>59.36</v>
      </c>
      <c r="K24" s="24">
        <v>54.47</v>
      </c>
      <c r="L24" s="24">
        <v>59.36</v>
      </c>
      <c r="M24" s="24">
        <f t="shared" si="6"/>
        <v>100</v>
      </c>
      <c r="N24" s="24">
        <f t="shared" si="7"/>
        <v>108.97741876262164</v>
      </c>
      <c r="O24" s="24">
        <f t="shared" si="8"/>
        <v>100</v>
      </c>
      <c r="P24" s="26">
        <f>L24/K24*100</f>
        <v>108.97741876262164</v>
      </c>
      <c r="Q24" s="162"/>
    </row>
    <row r="25" spans="1:18" ht="72.75" customHeight="1" x14ac:dyDescent="0.25">
      <c r="A25" s="177"/>
      <c r="B25" s="39" t="s">
        <v>46</v>
      </c>
      <c r="C25" s="24">
        <v>84.86</v>
      </c>
      <c r="D25" s="115">
        <v>84.86</v>
      </c>
      <c r="E25" s="23">
        <v>84.86</v>
      </c>
      <c r="F25" s="24">
        <v>93</v>
      </c>
      <c r="G25" s="24">
        <v>84.86</v>
      </c>
      <c r="H25" s="24">
        <v>93</v>
      </c>
      <c r="I25" s="24">
        <v>93</v>
      </c>
      <c r="J25" s="24">
        <v>101.36</v>
      </c>
      <c r="K25" s="24">
        <v>93</v>
      </c>
      <c r="L25" s="24">
        <v>101.36</v>
      </c>
      <c r="M25" s="24">
        <f t="shared" si="6"/>
        <v>100</v>
      </c>
      <c r="N25" s="24">
        <f t="shared" si="7"/>
        <v>108.98924731182795</v>
      </c>
      <c r="O25" s="24">
        <f t="shared" si="8"/>
        <v>100</v>
      </c>
      <c r="P25" s="26">
        <f>L25/K25*100</f>
        <v>108.98924731182795</v>
      </c>
      <c r="Q25" s="162"/>
    </row>
    <row r="26" spans="1:18" ht="70.5" customHeight="1" x14ac:dyDescent="0.25">
      <c r="A26" s="177"/>
      <c r="B26" s="40" t="s">
        <v>68</v>
      </c>
      <c r="C26" s="24">
        <v>27.66</v>
      </c>
      <c r="D26" s="115">
        <v>27.66</v>
      </c>
      <c r="E26" s="23">
        <v>27.66</v>
      </c>
      <c r="F26" s="24">
        <v>30.31</v>
      </c>
      <c r="G26" s="24">
        <f>E26</f>
        <v>27.66</v>
      </c>
      <c r="H26" s="24">
        <f>F26</f>
        <v>30.31</v>
      </c>
      <c r="I26" s="24">
        <v>30.31</v>
      </c>
      <c r="J26" s="24">
        <v>33.020000000000003</v>
      </c>
      <c r="K26" s="24">
        <v>30.31</v>
      </c>
      <c r="L26" s="24">
        <v>33.020000000000003</v>
      </c>
      <c r="M26" s="24">
        <f t="shared" si="6"/>
        <v>100</v>
      </c>
      <c r="N26" s="24">
        <f t="shared" si="7"/>
        <v>108.94094358297592</v>
      </c>
      <c r="O26" s="24">
        <f t="shared" si="8"/>
        <v>100</v>
      </c>
      <c r="P26" s="26">
        <f>L26/K26*100</f>
        <v>108.94094358297592</v>
      </c>
      <c r="Q26" s="162"/>
    </row>
    <row r="27" spans="1:18" ht="43.5" customHeight="1" thickBot="1" x14ac:dyDescent="0.3">
      <c r="A27" s="178"/>
      <c r="B27" s="41" t="s">
        <v>42</v>
      </c>
      <c r="C27" s="14">
        <v>17.940000000000001</v>
      </c>
      <c r="D27" s="116">
        <v>17.940000000000001</v>
      </c>
      <c r="E27" s="124">
        <v>17.940000000000001</v>
      </c>
      <c r="F27" s="44">
        <v>19.66</v>
      </c>
      <c r="G27" s="44">
        <f>E27</f>
        <v>17.940000000000001</v>
      </c>
      <c r="H27" s="44">
        <f>F27</f>
        <v>19.66</v>
      </c>
      <c r="I27" s="44">
        <v>19.66</v>
      </c>
      <c r="J27" s="44">
        <v>21.4</v>
      </c>
      <c r="K27" s="44">
        <v>19.66</v>
      </c>
      <c r="L27" s="44">
        <v>21.4</v>
      </c>
      <c r="M27" s="64">
        <f t="shared" si="6"/>
        <v>100</v>
      </c>
      <c r="N27" s="64">
        <f t="shared" si="7"/>
        <v>108.85045778229907</v>
      </c>
      <c r="O27" s="64">
        <f t="shared" si="8"/>
        <v>100</v>
      </c>
      <c r="P27" s="65">
        <f>L27/K27*100</f>
        <v>108.85045778229907</v>
      </c>
      <c r="Q27" s="179"/>
    </row>
    <row r="28" spans="1:18" ht="32.25" customHeight="1" x14ac:dyDescent="0.25">
      <c r="A28" s="177" t="s">
        <v>27</v>
      </c>
      <c r="B28" s="42" t="s">
        <v>24</v>
      </c>
      <c r="C28" s="43">
        <v>363.77</v>
      </c>
      <c r="D28" s="122">
        <v>340.95</v>
      </c>
      <c r="E28" s="16">
        <v>363.77</v>
      </c>
      <c r="F28" s="17">
        <v>398.69</v>
      </c>
      <c r="G28" s="17">
        <f>D28</f>
        <v>340.95</v>
      </c>
      <c r="H28" s="17">
        <v>373.68</v>
      </c>
      <c r="I28" s="17">
        <v>398.69</v>
      </c>
      <c r="J28" s="17">
        <v>434.57</v>
      </c>
      <c r="K28" s="17">
        <v>373.68</v>
      </c>
      <c r="L28" s="17">
        <v>407.3</v>
      </c>
      <c r="M28" s="20">
        <f t="shared" ref="M28:M56" si="10">E28/C28*100</f>
        <v>100</v>
      </c>
      <c r="N28" s="20">
        <f t="shared" ref="N28:N56" si="11">F28/E28*100</f>
        <v>109.59947219396872</v>
      </c>
      <c r="O28" s="20">
        <f t="shared" ref="O28:O32" si="12">G28/D28*100</f>
        <v>100</v>
      </c>
      <c r="P28" s="52">
        <f t="shared" ref="P28:P32" si="13">L28/K28*100</f>
        <v>108.99700278312996</v>
      </c>
      <c r="Q28" s="180" t="s">
        <v>126</v>
      </c>
    </row>
    <row r="29" spans="1:18" ht="22.5" customHeight="1" x14ac:dyDescent="0.25">
      <c r="A29" s="177"/>
      <c r="B29" s="39" t="s">
        <v>25</v>
      </c>
      <c r="C29" s="43">
        <v>363.77</v>
      </c>
      <c r="D29" s="115">
        <v>340.95</v>
      </c>
      <c r="E29" s="23">
        <f t="shared" ref="E29:F31" si="14">E28</f>
        <v>363.77</v>
      </c>
      <c r="F29" s="24">
        <f t="shared" si="14"/>
        <v>398.69</v>
      </c>
      <c r="G29" s="24">
        <f>D29</f>
        <v>340.95</v>
      </c>
      <c r="H29" s="24">
        <f>H28</f>
        <v>373.68</v>
      </c>
      <c r="I29" s="24">
        <v>398.69</v>
      </c>
      <c r="J29" s="24">
        <v>434.57</v>
      </c>
      <c r="K29" s="24">
        <v>373.68</v>
      </c>
      <c r="L29" s="24">
        <v>407.3</v>
      </c>
      <c r="M29" s="24">
        <f t="shared" si="10"/>
        <v>100</v>
      </c>
      <c r="N29" s="24">
        <f t="shared" si="11"/>
        <v>109.59947219396872</v>
      </c>
      <c r="O29" s="24">
        <f t="shared" si="12"/>
        <v>100</v>
      </c>
      <c r="P29" s="26">
        <f t="shared" si="13"/>
        <v>108.99700278312996</v>
      </c>
      <c r="Q29" s="180"/>
    </row>
    <row r="30" spans="1:18" ht="19.5" customHeight="1" x14ac:dyDescent="0.25">
      <c r="A30" s="177"/>
      <c r="B30" s="39" t="s">
        <v>26</v>
      </c>
      <c r="C30" s="43">
        <v>363.77</v>
      </c>
      <c r="D30" s="115">
        <v>340.95</v>
      </c>
      <c r="E30" s="23">
        <f t="shared" si="14"/>
        <v>363.77</v>
      </c>
      <c r="F30" s="24">
        <f t="shared" si="14"/>
        <v>398.69</v>
      </c>
      <c r="G30" s="24">
        <f>D30</f>
        <v>340.95</v>
      </c>
      <c r="H30" s="24">
        <f>H29</f>
        <v>373.68</v>
      </c>
      <c r="I30" s="24">
        <v>398.69</v>
      </c>
      <c r="J30" s="24">
        <v>434.57</v>
      </c>
      <c r="K30" s="24">
        <v>373.68</v>
      </c>
      <c r="L30" s="24">
        <v>407.3</v>
      </c>
      <c r="M30" s="24">
        <f t="shared" si="10"/>
        <v>100</v>
      </c>
      <c r="N30" s="24">
        <f t="shared" si="11"/>
        <v>109.59947219396872</v>
      </c>
      <c r="O30" s="24">
        <f t="shared" si="12"/>
        <v>100</v>
      </c>
      <c r="P30" s="26">
        <f t="shared" si="13"/>
        <v>108.99700278312996</v>
      </c>
      <c r="Q30" s="180"/>
    </row>
    <row r="31" spans="1:18" ht="51" x14ac:dyDescent="0.25">
      <c r="A31" s="177"/>
      <c r="B31" s="46" t="s">
        <v>23</v>
      </c>
      <c r="C31" s="43">
        <v>363.77</v>
      </c>
      <c r="D31" s="115">
        <v>363.77</v>
      </c>
      <c r="E31" s="23">
        <f t="shared" si="14"/>
        <v>363.77</v>
      </c>
      <c r="F31" s="24">
        <f t="shared" si="14"/>
        <v>398.69</v>
      </c>
      <c r="G31" s="24">
        <f>D31</f>
        <v>363.77</v>
      </c>
      <c r="H31" s="24">
        <f>F31</f>
        <v>398.69</v>
      </c>
      <c r="I31" s="24">
        <v>398.69</v>
      </c>
      <c r="J31" s="24">
        <v>434.57</v>
      </c>
      <c r="K31" s="24">
        <v>398.69</v>
      </c>
      <c r="L31" s="24">
        <v>434.57</v>
      </c>
      <c r="M31" s="24">
        <f t="shared" si="10"/>
        <v>100</v>
      </c>
      <c r="N31" s="24">
        <f t="shared" si="11"/>
        <v>109.59947219396872</v>
      </c>
      <c r="O31" s="24">
        <f t="shared" si="12"/>
        <v>100</v>
      </c>
      <c r="P31" s="26">
        <f t="shared" si="13"/>
        <v>108.99947327497554</v>
      </c>
      <c r="Q31" s="180"/>
    </row>
    <row r="32" spans="1:18" ht="30.75" customHeight="1" thickBot="1" x14ac:dyDescent="0.3">
      <c r="A32" s="177"/>
      <c r="B32" s="117" t="s">
        <v>29</v>
      </c>
      <c r="C32" s="44">
        <v>668.48</v>
      </c>
      <c r="D32" s="123">
        <v>348.73</v>
      </c>
      <c r="E32" s="50">
        <v>668.48</v>
      </c>
      <c r="F32" s="14">
        <v>668.48</v>
      </c>
      <c r="G32" s="14">
        <f>D32</f>
        <v>348.73</v>
      </c>
      <c r="H32" s="14">
        <v>382.2</v>
      </c>
      <c r="I32" s="14">
        <v>668.48</v>
      </c>
      <c r="J32" s="14">
        <v>728.65</v>
      </c>
      <c r="K32" s="14">
        <v>382.2</v>
      </c>
      <c r="L32" s="14">
        <v>416.59</v>
      </c>
      <c r="M32" s="34">
        <f t="shared" si="10"/>
        <v>100</v>
      </c>
      <c r="N32" s="34">
        <f t="shared" si="11"/>
        <v>100</v>
      </c>
      <c r="O32" s="34">
        <f t="shared" si="12"/>
        <v>100</v>
      </c>
      <c r="P32" s="53">
        <f t="shared" si="13"/>
        <v>108.99790685504971</v>
      </c>
      <c r="Q32" s="180"/>
      <c r="R32" s="10"/>
    </row>
    <row r="33" spans="1:19" ht="63.75" customHeight="1" x14ac:dyDescent="0.25">
      <c r="A33" s="176" t="s">
        <v>38</v>
      </c>
      <c r="B33" s="48" t="s">
        <v>33</v>
      </c>
      <c r="C33" s="16">
        <f>240.55*1.2</f>
        <v>288.66000000000003</v>
      </c>
      <c r="D33" s="17"/>
      <c r="E33" s="43">
        <f>240.55*1.2</f>
        <v>288.66000000000003</v>
      </c>
      <c r="F33" s="43">
        <f>250.05*1.2</f>
        <v>300.06</v>
      </c>
      <c r="G33" s="43"/>
      <c r="H33" s="43"/>
      <c r="I33" s="44"/>
      <c r="J33" s="44"/>
      <c r="K33" s="44"/>
      <c r="L33" s="44"/>
      <c r="M33" s="43"/>
      <c r="N33" s="43"/>
      <c r="O33" s="44"/>
      <c r="P33" s="45"/>
      <c r="Q33" s="196" t="s">
        <v>115</v>
      </c>
      <c r="R33">
        <v>250.05</v>
      </c>
      <c r="S33">
        <f>R33*1.2</f>
        <v>300.06</v>
      </c>
    </row>
    <row r="34" spans="1:19" ht="25.5" x14ac:dyDescent="0.25">
      <c r="A34" s="177"/>
      <c r="B34" s="39" t="s">
        <v>34</v>
      </c>
      <c r="C34" s="23">
        <f>2074.21*1.2</f>
        <v>2489.0520000000001</v>
      </c>
      <c r="D34" s="24"/>
      <c r="E34" s="24">
        <f>2074.21*1.2</f>
        <v>2489.0520000000001</v>
      </c>
      <c r="F34" s="24">
        <f>2364.9*1.2</f>
        <v>2837.88</v>
      </c>
      <c r="G34" s="24"/>
      <c r="H34" s="24"/>
      <c r="I34" s="24">
        <f>2288.04*1.2</f>
        <v>2745.6479999999997</v>
      </c>
      <c r="J34" s="24">
        <f>2288.04*1.2</f>
        <v>2745.6479999999997</v>
      </c>
      <c r="K34" s="24"/>
      <c r="L34" s="24"/>
      <c r="M34" s="24">
        <f t="shared" ref="M34:M37" si="15">I34/F34*100</f>
        <v>96.74996828618545</v>
      </c>
      <c r="N34" s="24">
        <f t="shared" ref="N34:N37" si="16">J34/I34*100</f>
        <v>100</v>
      </c>
      <c r="O34" s="24"/>
      <c r="P34" s="26"/>
      <c r="Q34" s="197"/>
      <c r="R34">
        <v>2364.9</v>
      </c>
      <c r="S34">
        <f t="shared" ref="S34:S37" si="17">R34*1.2</f>
        <v>2837.88</v>
      </c>
    </row>
    <row r="35" spans="1:19" ht="25.5" x14ac:dyDescent="0.25">
      <c r="A35" s="177"/>
      <c r="B35" s="39" t="s">
        <v>36</v>
      </c>
      <c r="C35" s="23">
        <f>1308.54*1.2</f>
        <v>1570.2479999999998</v>
      </c>
      <c r="D35" s="24"/>
      <c r="E35" s="24">
        <f>1308.54*1.2</f>
        <v>1570.2479999999998</v>
      </c>
      <c r="F35" s="24">
        <f>1419.74*1.2</f>
        <v>1703.6879999999999</v>
      </c>
      <c r="G35" s="24"/>
      <c r="H35" s="24"/>
      <c r="I35" s="24">
        <f>1419.74*1.2</f>
        <v>1703.6879999999999</v>
      </c>
      <c r="J35" s="24">
        <f>1448.97*1.2</f>
        <v>1738.7639999999999</v>
      </c>
      <c r="K35" s="24"/>
      <c r="L35" s="24"/>
      <c r="M35" s="24">
        <f t="shared" si="15"/>
        <v>100</v>
      </c>
      <c r="N35" s="24">
        <f t="shared" si="16"/>
        <v>102.05882767267246</v>
      </c>
      <c r="O35" s="24"/>
      <c r="P35" s="26"/>
      <c r="Q35" s="197"/>
      <c r="R35">
        <v>1419.74</v>
      </c>
      <c r="S35">
        <f t="shared" si="17"/>
        <v>1703.6879999999999</v>
      </c>
    </row>
    <row r="36" spans="1:19" ht="25.5" x14ac:dyDescent="0.25">
      <c r="A36" s="177"/>
      <c r="B36" s="39" t="s">
        <v>37</v>
      </c>
      <c r="C36" s="23">
        <f>865.16*1.2</f>
        <v>1038.192</v>
      </c>
      <c r="D36" s="24"/>
      <c r="E36" s="24">
        <f>865.16*1.2</f>
        <v>1038.192</v>
      </c>
      <c r="F36" s="24">
        <f>966.12*1.2</f>
        <v>1159.3440000000001</v>
      </c>
      <c r="G36" s="24"/>
      <c r="H36" s="24"/>
      <c r="I36" s="24">
        <f>956.75*1.2</f>
        <v>1148.0999999999999</v>
      </c>
      <c r="J36" s="24">
        <f>956.75*1.2</f>
        <v>1148.0999999999999</v>
      </c>
      <c r="K36" s="24"/>
      <c r="L36" s="24"/>
      <c r="M36" s="24">
        <f t="shared" si="15"/>
        <v>99.030141183289842</v>
      </c>
      <c r="N36" s="24">
        <f t="shared" si="16"/>
        <v>100</v>
      </c>
      <c r="O36" s="24"/>
      <c r="P36" s="26"/>
      <c r="Q36" s="198"/>
      <c r="R36">
        <v>966.12</v>
      </c>
      <c r="S36">
        <f t="shared" si="17"/>
        <v>1159.3440000000001</v>
      </c>
    </row>
    <row r="37" spans="1:19" ht="88.5" customHeight="1" x14ac:dyDescent="0.25">
      <c r="A37" s="177"/>
      <c r="B37" s="39" t="s">
        <v>39</v>
      </c>
      <c r="C37" s="23">
        <f>1790.34*1.2</f>
        <v>2148.4079999999999</v>
      </c>
      <c r="D37" s="24"/>
      <c r="E37" s="24">
        <f>1790.34*1.2</f>
        <v>2148.4079999999999</v>
      </c>
      <c r="F37" s="24">
        <f>2328.37*1.2</f>
        <v>2794.0439999999999</v>
      </c>
      <c r="G37" s="24"/>
      <c r="H37" s="24"/>
      <c r="I37" s="24">
        <f>2028.43*1.2</f>
        <v>2434.116</v>
      </c>
      <c r="J37" s="24">
        <f>2028.43*1.2</f>
        <v>2434.116</v>
      </c>
      <c r="K37" s="24"/>
      <c r="L37" s="24"/>
      <c r="M37" s="24">
        <f t="shared" si="15"/>
        <v>87.118026774095185</v>
      </c>
      <c r="N37" s="24">
        <f t="shared" si="16"/>
        <v>100</v>
      </c>
      <c r="O37" s="24"/>
      <c r="P37" s="26"/>
      <c r="Q37" s="49" t="s">
        <v>116</v>
      </c>
      <c r="R37">
        <v>2328.37</v>
      </c>
      <c r="S37">
        <f t="shared" si="17"/>
        <v>2794.0439999999999</v>
      </c>
    </row>
    <row r="38" spans="1:19" ht="55.5" customHeight="1" thickBot="1" x14ac:dyDescent="0.3">
      <c r="A38" s="178"/>
      <c r="B38" s="47" t="s">
        <v>35</v>
      </c>
      <c r="C38" s="50" t="s">
        <v>10</v>
      </c>
      <c r="D38" s="14"/>
      <c r="E38" s="14">
        <f>614.32*1.2</f>
        <v>737.18400000000008</v>
      </c>
      <c r="F38" s="14">
        <f>E38</f>
        <v>737.18400000000008</v>
      </c>
      <c r="G38" s="14"/>
      <c r="H38" s="14"/>
      <c r="I38" s="14">
        <f>614.32*1.2</f>
        <v>737.18400000000008</v>
      </c>
      <c r="J38" s="14">
        <f>655.74*1.2</f>
        <v>786.88800000000003</v>
      </c>
      <c r="K38" s="14"/>
      <c r="L38" s="14"/>
      <c r="M38" s="14">
        <f>I38/F38*100</f>
        <v>100</v>
      </c>
      <c r="N38" s="14">
        <f>J38/I38*100</f>
        <v>106.74241437687198</v>
      </c>
      <c r="O38" s="14"/>
      <c r="P38" s="30"/>
      <c r="Q38" s="51" t="s">
        <v>114</v>
      </c>
    </row>
    <row r="39" spans="1:19" ht="68.25" customHeight="1" x14ac:dyDescent="0.25">
      <c r="A39" s="176" t="s">
        <v>19</v>
      </c>
      <c r="B39" s="48" t="s">
        <v>21</v>
      </c>
      <c r="C39" s="128">
        <v>275.36</v>
      </c>
      <c r="D39" s="114">
        <v>275.36</v>
      </c>
      <c r="E39" s="16">
        <v>275.36</v>
      </c>
      <c r="F39" s="17">
        <v>301.79000000000002</v>
      </c>
      <c r="G39" s="17">
        <v>275.36</v>
      </c>
      <c r="H39" s="17">
        <v>301.79000000000002</v>
      </c>
      <c r="I39" s="20">
        <v>301.79000000000002</v>
      </c>
      <c r="J39" s="20">
        <v>320.06</v>
      </c>
      <c r="K39" s="20">
        <v>301.79000000000002</v>
      </c>
      <c r="L39" s="20">
        <v>320.06</v>
      </c>
      <c r="M39" s="17">
        <f>I39/F39*100</f>
        <v>100</v>
      </c>
      <c r="N39" s="17">
        <f>J39/I39*100</f>
        <v>106.05387852480202</v>
      </c>
      <c r="O39" s="17">
        <f>K39/H39*100</f>
        <v>100</v>
      </c>
      <c r="P39" s="114">
        <f>L39/K39*100</f>
        <v>106.05387852480202</v>
      </c>
      <c r="Q39" s="196" t="s">
        <v>112</v>
      </c>
    </row>
    <row r="40" spans="1:19" ht="66.75" customHeight="1" x14ac:dyDescent="0.25">
      <c r="A40" s="177"/>
      <c r="B40" s="39" t="s">
        <v>22</v>
      </c>
      <c r="C40" s="129">
        <v>275.36</v>
      </c>
      <c r="D40" s="115">
        <v>275.36</v>
      </c>
      <c r="E40" s="23">
        <v>275.36</v>
      </c>
      <c r="F40" s="24">
        <v>301.79000000000002</v>
      </c>
      <c r="G40" s="24">
        <v>275.36</v>
      </c>
      <c r="H40" s="24">
        <v>301.79000000000002</v>
      </c>
      <c r="I40" s="24">
        <v>301.79000000000002</v>
      </c>
      <c r="J40" s="24">
        <v>320.06</v>
      </c>
      <c r="K40" s="24">
        <v>301.79000000000002</v>
      </c>
      <c r="L40" s="24">
        <v>320.06</v>
      </c>
      <c r="M40" s="24">
        <f t="shared" ref="M40:M43" si="18">I40/F40*100</f>
        <v>100</v>
      </c>
      <c r="N40" s="24">
        <f t="shared" ref="N40:N45" si="19">J40/I40*100</f>
        <v>106.05387852480202</v>
      </c>
      <c r="O40" s="24">
        <f t="shared" ref="O40:O43" si="20">K40/H40*100</f>
        <v>100</v>
      </c>
      <c r="P40" s="115">
        <f>L40/K40*100</f>
        <v>106.05387852480202</v>
      </c>
      <c r="Q40" s="197"/>
    </row>
    <row r="41" spans="1:19" ht="84" customHeight="1" x14ac:dyDescent="0.25">
      <c r="A41" s="177"/>
      <c r="B41" s="39" t="s">
        <v>51</v>
      </c>
      <c r="C41" s="129">
        <v>121.1</v>
      </c>
      <c r="D41" s="115">
        <v>121.1</v>
      </c>
      <c r="E41" s="23">
        <v>121.1</v>
      </c>
      <c r="F41" s="24">
        <v>132.72</v>
      </c>
      <c r="G41" s="24">
        <v>121.1</v>
      </c>
      <c r="H41" s="24">
        <v>132.72</v>
      </c>
      <c r="I41" s="24">
        <v>132.72</v>
      </c>
      <c r="J41" s="24">
        <v>140.69</v>
      </c>
      <c r="K41" s="24">
        <v>132.72</v>
      </c>
      <c r="L41" s="24">
        <v>140.69</v>
      </c>
      <c r="M41" s="24">
        <f t="shared" si="18"/>
        <v>100</v>
      </c>
      <c r="N41" s="24">
        <f t="shared" si="19"/>
        <v>106.00512356841472</v>
      </c>
      <c r="O41" s="24">
        <f t="shared" si="20"/>
        <v>100</v>
      </c>
      <c r="P41" s="115">
        <f>L41/K41*100</f>
        <v>106.00512356841472</v>
      </c>
      <c r="Q41" s="197"/>
    </row>
    <row r="42" spans="1:19" ht="63.75" customHeight="1" x14ac:dyDescent="0.25">
      <c r="A42" s="177"/>
      <c r="B42" s="39" t="s">
        <v>30</v>
      </c>
      <c r="C42" s="129">
        <v>67.819999999999993</v>
      </c>
      <c r="D42" s="115">
        <v>67.819999999999993</v>
      </c>
      <c r="E42" s="23">
        <v>67.819999999999993</v>
      </c>
      <c r="F42" s="24">
        <v>74.33</v>
      </c>
      <c r="G42" s="24">
        <v>67.819999999999993</v>
      </c>
      <c r="H42" s="24">
        <v>74.33</v>
      </c>
      <c r="I42" s="24">
        <v>74.33</v>
      </c>
      <c r="J42" s="24">
        <v>78.760000000000005</v>
      </c>
      <c r="K42" s="24">
        <v>74.33</v>
      </c>
      <c r="L42" s="24">
        <v>78.760000000000005</v>
      </c>
      <c r="M42" s="24">
        <f>I42/F42*100</f>
        <v>100</v>
      </c>
      <c r="N42" s="24">
        <f t="shared" si="19"/>
        <v>105.95990851607698</v>
      </c>
      <c r="O42" s="24">
        <f t="shared" si="20"/>
        <v>100</v>
      </c>
      <c r="P42" s="115">
        <f t="shared" ref="P42:P47" si="21">L42/K42*100</f>
        <v>105.95990851607698</v>
      </c>
      <c r="Q42" s="197"/>
    </row>
    <row r="43" spans="1:19" ht="45.75" customHeight="1" x14ac:dyDescent="0.25">
      <c r="A43" s="177"/>
      <c r="B43" s="39" t="s">
        <v>20</v>
      </c>
      <c r="C43" s="125">
        <v>38.46</v>
      </c>
      <c r="D43" s="123">
        <v>38.46</v>
      </c>
      <c r="E43" s="124">
        <v>38.46</v>
      </c>
      <c r="F43" s="44">
        <v>42.14</v>
      </c>
      <c r="G43" s="44">
        <v>38.46</v>
      </c>
      <c r="H43" s="44">
        <v>42.14</v>
      </c>
      <c r="I43" s="44">
        <v>42.14</v>
      </c>
      <c r="J43" s="44">
        <v>44.6</v>
      </c>
      <c r="K43" s="44">
        <v>42.14</v>
      </c>
      <c r="L43" s="44">
        <v>44.6</v>
      </c>
      <c r="M43" s="64">
        <f t="shared" si="18"/>
        <v>100</v>
      </c>
      <c r="N43" s="64">
        <f t="shared" si="19"/>
        <v>105.83768391077362</v>
      </c>
      <c r="O43" s="64">
        <f t="shared" si="20"/>
        <v>100</v>
      </c>
      <c r="P43" s="113">
        <f t="shared" si="21"/>
        <v>105.83768391077362</v>
      </c>
      <c r="Q43" s="198"/>
    </row>
    <row r="44" spans="1:19" ht="69.75" customHeight="1" x14ac:dyDescent="0.25">
      <c r="A44" s="177"/>
      <c r="B44" s="42" t="s">
        <v>128</v>
      </c>
      <c r="C44" s="129"/>
      <c r="D44" s="115"/>
      <c r="E44" s="23"/>
      <c r="F44" s="24"/>
      <c r="G44" s="24"/>
      <c r="H44" s="24"/>
      <c r="I44" s="24">
        <v>334.37</v>
      </c>
      <c r="J44" s="24">
        <v>334.37</v>
      </c>
      <c r="K44" s="24">
        <v>334.37</v>
      </c>
      <c r="L44" s="24">
        <v>334.37</v>
      </c>
      <c r="M44" s="24"/>
      <c r="N44" s="24">
        <f t="shared" si="19"/>
        <v>100</v>
      </c>
      <c r="O44" s="24"/>
      <c r="P44" s="115">
        <f t="shared" si="21"/>
        <v>100</v>
      </c>
      <c r="Q44" s="181" t="s">
        <v>130</v>
      </c>
    </row>
    <row r="45" spans="1:19" ht="45.75" customHeight="1" thickBot="1" x14ac:dyDescent="0.3">
      <c r="A45" s="178"/>
      <c r="B45" s="47" t="s">
        <v>129</v>
      </c>
      <c r="C45" s="130"/>
      <c r="D45" s="35"/>
      <c r="E45" s="132"/>
      <c r="F45" s="64"/>
      <c r="G45" s="64"/>
      <c r="H45" s="64"/>
      <c r="I45" s="64">
        <v>136.69999999999999</v>
      </c>
      <c r="J45" s="64">
        <v>136.69999999999999</v>
      </c>
      <c r="K45" s="64">
        <v>136.69999999999999</v>
      </c>
      <c r="L45" s="64">
        <v>136.69999999999999</v>
      </c>
      <c r="M45" s="64"/>
      <c r="N45" s="64">
        <f t="shared" si="19"/>
        <v>100</v>
      </c>
      <c r="O45" s="64"/>
      <c r="P45" s="113">
        <f t="shared" si="21"/>
        <v>100</v>
      </c>
      <c r="Q45" s="182"/>
    </row>
    <row r="46" spans="1:19" ht="38.25" x14ac:dyDescent="0.25">
      <c r="A46" s="175" t="s">
        <v>55</v>
      </c>
      <c r="B46" s="126" t="s">
        <v>56</v>
      </c>
      <c r="C46" s="127">
        <v>227.69</v>
      </c>
      <c r="D46" s="140">
        <v>227.69</v>
      </c>
      <c r="E46" s="143">
        <v>446.87</v>
      </c>
      <c r="F46" s="56">
        <v>493.79</v>
      </c>
      <c r="G46" s="56">
        <v>227.69</v>
      </c>
      <c r="H46" s="56">
        <v>251.59</v>
      </c>
      <c r="I46" s="144">
        <v>493.79</v>
      </c>
      <c r="J46" s="144">
        <v>626.16</v>
      </c>
      <c r="K46" s="56">
        <v>251.59</v>
      </c>
      <c r="L46" s="144">
        <v>274.22000000000003</v>
      </c>
      <c r="M46" s="17">
        <f t="shared" si="10"/>
        <v>196.26246211954853</v>
      </c>
      <c r="N46" s="17">
        <f>F46/E46*100</f>
        <v>110.49969789871774</v>
      </c>
      <c r="O46" s="17">
        <f>K46/H46*100</f>
        <v>100</v>
      </c>
      <c r="P46" s="52">
        <f t="shared" si="21"/>
        <v>108.99479311578362</v>
      </c>
      <c r="Q46" s="166" t="s">
        <v>135</v>
      </c>
    </row>
    <row r="47" spans="1:19" ht="38.25" x14ac:dyDescent="0.25">
      <c r="A47" s="170"/>
      <c r="B47" s="57" t="s">
        <v>57</v>
      </c>
      <c r="C47" s="58">
        <v>95.8</v>
      </c>
      <c r="D47" s="141">
        <v>95.8</v>
      </c>
      <c r="E47" s="145">
        <v>239.6</v>
      </c>
      <c r="F47" s="60">
        <v>264.74</v>
      </c>
      <c r="G47" s="60">
        <v>95.8</v>
      </c>
      <c r="H47" s="60">
        <v>105.85</v>
      </c>
      <c r="I47" s="61">
        <v>264.74</v>
      </c>
      <c r="J47" s="61">
        <v>444.27</v>
      </c>
      <c r="K47" s="60">
        <v>105.85</v>
      </c>
      <c r="L47" s="139">
        <v>115.37</v>
      </c>
      <c r="M47" s="24">
        <f t="shared" si="10"/>
        <v>250.10438413361169</v>
      </c>
      <c r="N47" s="24">
        <f t="shared" si="11"/>
        <v>110.4924874791319</v>
      </c>
      <c r="O47" s="24">
        <f t="shared" ref="O47:O56" si="22">K47/H47*100</f>
        <v>100</v>
      </c>
      <c r="P47" s="26">
        <f t="shared" si="21"/>
        <v>108.99385923476619</v>
      </c>
      <c r="Q47" s="167"/>
    </row>
    <row r="48" spans="1:19" x14ac:dyDescent="0.25">
      <c r="A48" s="170"/>
      <c r="B48" s="57" t="s">
        <v>58</v>
      </c>
      <c r="C48" s="58">
        <v>181.22</v>
      </c>
      <c r="D48" s="141">
        <v>181.22</v>
      </c>
      <c r="E48" s="145">
        <v>424.4</v>
      </c>
      <c r="F48" s="60">
        <v>468.96</v>
      </c>
      <c r="G48" s="60">
        <v>181.22</v>
      </c>
      <c r="H48" s="60">
        <v>200.24</v>
      </c>
      <c r="I48" s="61">
        <v>468.96</v>
      </c>
      <c r="J48" s="61">
        <v>596.23</v>
      </c>
      <c r="K48" s="60">
        <v>200.24</v>
      </c>
      <c r="L48" s="139">
        <v>218.26</v>
      </c>
      <c r="M48" s="24">
        <f t="shared" si="10"/>
        <v>234.19048670124712</v>
      </c>
      <c r="N48" s="24">
        <f t="shared" si="11"/>
        <v>110.4995287464656</v>
      </c>
      <c r="O48" s="24">
        <f t="shared" si="22"/>
        <v>100</v>
      </c>
      <c r="P48" s="26">
        <f>L48/K48*100</f>
        <v>108.99920095884936</v>
      </c>
      <c r="Q48" s="167"/>
    </row>
    <row r="49" spans="1:17" x14ac:dyDescent="0.25">
      <c r="A49" s="170"/>
      <c r="B49" s="57" t="s">
        <v>59</v>
      </c>
      <c r="C49" s="58">
        <v>127.63</v>
      </c>
      <c r="D49" s="141">
        <v>127.63</v>
      </c>
      <c r="E49" s="145">
        <v>332.15</v>
      </c>
      <c r="F49" s="60">
        <v>367.02</v>
      </c>
      <c r="G49" s="60">
        <v>127.63</v>
      </c>
      <c r="H49" s="60">
        <v>141.02000000000001</v>
      </c>
      <c r="I49" s="61">
        <v>376.02</v>
      </c>
      <c r="J49" s="61">
        <v>484.75</v>
      </c>
      <c r="K49" s="60">
        <v>141.02000000000001</v>
      </c>
      <c r="L49" s="139">
        <v>153.71</v>
      </c>
      <c r="M49" s="24">
        <f t="shared" si="10"/>
        <v>260.24445663245319</v>
      </c>
      <c r="N49" s="24">
        <f t="shared" si="11"/>
        <v>110.49826885443323</v>
      </c>
      <c r="O49" s="24">
        <f t="shared" si="22"/>
        <v>100</v>
      </c>
      <c r="P49" s="26">
        <f t="shared" ref="P49:P56" si="23">L49/K49*100</f>
        <v>108.99872358530705</v>
      </c>
      <c r="Q49" s="167"/>
    </row>
    <row r="50" spans="1:17" x14ac:dyDescent="0.25">
      <c r="A50" s="170"/>
      <c r="B50" s="57" t="s">
        <v>60</v>
      </c>
      <c r="C50" s="58">
        <v>202.99</v>
      </c>
      <c r="D50" s="141">
        <v>202.99</v>
      </c>
      <c r="E50" s="145">
        <v>1482.14</v>
      </c>
      <c r="F50" s="60">
        <v>1637.76</v>
      </c>
      <c r="G50" s="60">
        <v>202.99</v>
      </c>
      <c r="H50" s="61">
        <v>224.3</v>
      </c>
      <c r="I50" s="61">
        <v>1637.76</v>
      </c>
      <c r="J50" s="61">
        <v>1980.43</v>
      </c>
      <c r="K50" s="61">
        <v>224.3</v>
      </c>
      <c r="L50" s="139">
        <v>244.48</v>
      </c>
      <c r="M50" s="24">
        <f t="shared" si="10"/>
        <v>730.15419478792057</v>
      </c>
      <c r="N50" s="24">
        <f t="shared" si="11"/>
        <v>110.49968289095496</v>
      </c>
      <c r="O50" s="24">
        <f t="shared" si="22"/>
        <v>100</v>
      </c>
      <c r="P50" s="26">
        <f t="shared" si="23"/>
        <v>108.99687917967007</v>
      </c>
      <c r="Q50" s="167"/>
    </row>
    <row r="51" spans="1:17" ht="25.5" x14ac:dyDescent="0.25">
      <c r="A51" s="170"/>
      <c r="B51" s="57" t="s">
        <v>61</v>
      </c>
      <c r="C51" s="58">
        <v>131.99</v>
      </c>
      <c r="D51" s="141">
        <v>131.99</v>
      </c>
      <c r="E51" s="145">
        <v>278.63</v>
      </c>
      <c r="F51" s="60">
        <v>307.87</v>
      </c>
      <c r="G51" s="60">
        <v>131.99</v>
      </c>
      <c r="H51" s="60">
        <v>145.84</v>
      </c>
      <c r="I51" s="61">
        <v>307.87</v>
      </c>
      <c r="J51" s="61">
        <v>448.48</v>
      </c>
      <c r="K51" s="60">
        <v>145.84</v>
      </c>
      <c r="L51" s="139">
        <v>158.94999999999999</v>
      </c>
      <c r="M51" s="24">
        <f t="shared" si="10"/>
        <v>211.09932570649289</v>
      </c>
      <c r="N51" s="24">
        <f t="shared" si="11"/>
        <v>110.4942037827944</v>
      </c>
      <c r="O51" s="24">
        <f t="shared" si="22"/>
        <v>100</v>
      </c>
      <c r="P51" s="26">
        <f t="shared" si="23"/>
        <v>108.98930334613274</v>
      </c>
      <c r="Q51" s="167"/>
    </row>
    <row r="52" spans="1:17" x14ac:dyDescent="0.25">
      <c r="A52" s="170"/>
      <c r="B52" s="57" t="s">
        <v>62</v>
      </c>
      <c r="C52" s="58">
        <v>110.35</v>
      </c>
      <c r="D52" s="141">
        <v>110.35</v>
      </c>
      <c r="E52" s="145">
        <v>359.39</v>
      </c>
      <c r="F52" s="60">
        <v>397.12</v>
      </c>
      <c r="G52" s="60">
        <v>110.35</v>
      </c>
      <c r="H52" s="60">
        <v>121.93</v>
      </c>
      <c r="I52" s="61">
        <v>397.12</v>
      </c>
      <c r="J52" s="61">
        <v>457.16</v>
      </c>
      <c r="K52" s="60">
        <v>121.93</v>
      </c>
      <c r="L52" s="139">
        <v>132.9</v>
      </c>
      <c r="M52" s="24">
        <f t="shared" si="10"/>
        <v>325.68192115994566</v>
      </c>
      <c r="N52" s="24">
        <f t="shared" si="11"/>
        <v>110.49834441692869</v>
      </c>
      <c r="O52" s="24">
        <f t="shared" si="22"/>
        <v>100</v>
      </c>
      <c r="P52" s="26">
        <f t="shared" si="23"/>
        <v>108.99696547199214</v>
      </c>
      <c r="Q52" s="167"/>
    </row>
    <row r="53" spans="1:17" ht="38.25" x14ac:dyDescent="0.25">
      <c r="A53" s="170"/>
      <c r="B53" s="57" t="s">
        <v>63</v>
      </c>
      <c r="C53" s="58">
        <v>116.46</v>
      </c>
      <c r="D53" s="141">
        <v>116.46</v>
      </c>
      <c r="E53" s="145">
        <v>252.16</v>
      </c>
      <c r="F53" s="60">
        <v>278.63</v>
      </c>
      <c r="G53" s="60">
        <v>116.46</v>
      </c>
      <c r="H53" s="60">
        <v>128.68</v>
      </c>
      <c r="I53" s="61">
        <v>278.63</v>
      </c>
      <c r="J53" s="61">
        <v>462.97</v>
      </c>
      <c r="K53" s="60">
        <v>128.68</v>
      </c>
      <c r="L53" s="139">
        <v>140.26</v>
      </c>
      <c r="M53" s="24">
        <f t="shared" si="10"/>
        <v>216.52069380044651</v>
      </c>
      <c r="N53" s="24">
        <f t="shared" si="11"/>
        <v>110.49730329949239</v>
      </c>
      <c r="O53" s="24">
        <f t="shared" si="22"/>
        <v>100</v>
      </c>
      <c r="P53" s="26">
        <f t="shared" si="23"/>
        <v>108.99906745414982</v>
      </c>
      <c r="Q53" s="167"/>
    </row>
    <row r="54" spans="1:17" x14ac:dyDescent="0.25">
      <c r="A54" s="170"/>
      <c r="B54" s="57" t="s">
        <v>64</v>
      </c>
      <c r="C54" s="58">
        <v>131.41999999999999</v>
      </c>
      <c r="D54" s="141">
        <v>131.41999999999999</v>
      </c>
      <c r="E54" s="145">
        <v>227.59</v>
      </c>
      <c r="F54" s="60">
        <v>251.48</v>
      </c>
      <c r="G54" s="60">
        <v>131.41999999999999</v>
      </c>
      <c r="H54" s="60">
        <v>145.21</v>
      </c>
      <c r="I54" s="61">
        <v>251.48</v>
      </c>
      <c r="J54" s="61">
        <v>445.55</v>
      </c>
      <c r="K54" s="60">
        <v>145.21</v>
      </c>
      <c r="L54" s="139">
        <v>158.27000000000001</v>
      </c>
      <c r="M54" s="24">
        <f t="shared" si="10"/>
        <v>173.17759853903519</v>
      </c>
      <c r="N54" s="24">
        <f t="shared" si="11"/>
        <v>110.49694626301682</v>
      </c>
      <c r="O54" s="24">
        <f t="shared" si="22"/>
        <v>100</v>
      </c>
      <c r="P54" s="26">
        <f t="shared" si="23"/>
        <v>108.99387094552718</v>
      </c>
      <c r="Q54" s="167"/>
    </row>
    <row r="55" spans="1:17" ht="25.5" x14ac:dyDescent="0.25">
      <c r="A55" s="170"/>
      <c r="B55" s="57" t="s">
        <v>65</v>
      </c>
      <c r="C55" s="58">
        <v>239.47</v>
      </c>
      <c r="D55" s="141">
        <v>239.47</v>
      </c>
      <c r="E55" s="145">
        <v>447.89</v>
      </c>
      <c r="F55" s="61">
        <v>494.9</v>
      </c>
      <c r="G55" s="60">
        <v>239.47</v>
      </c>
      <c r="H55" s="60">
        <v>264.61</v>
      </c>
      <c r="I55" s="61">
        <v>494.9</v>
      </c>
      <c r="J55" s="61">
        <v>625.05999999999995</v>
      </c>
      <c r="K55" s="60">
        <v>264.61</v>
      </c>
      <c r="L55" s="139">
        <v>288.42</v>
      </c>
      <c r="M55" s="24">
        <f>E55/C55*100</f>
        <v>187.03386645508832</v>
      </c>
      <c r="N55" s="24">
        <f>F55/E55*100</f>
        <v>110.49588068498961</v>
      </c>
      <c r="O55" s="24">
        <f t="shared" si="22"/>
        <v>100</v>
      </c>
      <c r="P55" s="26">
        <f t="shared" si="23"/>
        <v>108.99814821813234</v>
      </c>
      <c r="Q55" s="167"/>
    </row>
    <row r="56" spans="1:17" ht="26.25" thickBot="1" x14ac:dyDescent="0.3">
      <c r="A56" s="171"/>
      <c r="B56" s="62" t="s">
        <v>66</v>
      </c>
      <c r="C56" s="63">
        <v>170.27</v>
      </c>
      <c r="D56" s="142">
        <v>170.27</v>
      </c>
      <c r="E56" s="146">
        <v>269.60000000000002</v>
      </c>
      <c r="F56" s="147">
        <v>297.89999999999998</v>
      </c>
      <c r="G56" s="148">
        <v>170.27</v>
      </c>
      <c r="H56" s="148">
        <v>188.14</v>
      </c>
      <c r="I56" s="147">
        <v>297.89999999999998</v>
      </c>
      <c r="J56" s="147">
        <v>401.86</v>
      </c>
      <c r="K56" s="148">
        <v>188.14</v>
      </c>
      <c r="L56" s="147">
        <v>205.07</v>
      </c>
      <c r="M56" s="34">
        <f t="shared" si="10"/>
        <v>158.33675926469726</v>
      </c>
      <c r="N56" s="34">
        <f t="shared" si="11"/>
        <v>110.49703264094954</v>
      </c>
      <c r="O56" s="34">
        <f t="shared" si="22"/>
        <v>100</v>
      </c>
      <c r="P56" s="53">
        <f t="shared" si="23"/>
        <v>108.99861805038802</v>
      </c>
      <c r="Q56" s="168"/>
    </row>
    <row r="57" spans="1:17" ht="15.75" thickBot="1" x14ac:dyDescent="0.3">
      <c r="A57" s="186" t="s">
        <v>100</v>
      </c>
      <c r="B57" s="187"/>
      <c r="C57" s="187"/>
      <c r="D57" s="187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9"/>
    </row>
    <row r="58" spans="1:17" x14ac:dyDescent="0.25">
      <c r="A58" s="190" t="s">
        <v>73</v>
      </c>
      <c r="B58" s="66" t="s">
        <v>74</v>
      </c>
      <c r="C58" s="55"/>
      <c r="D58" s="74">
        <v>2.4300000000000002</v>
      </c>
      <c r="E58" s="54"/>
      <c r="F58" s="73"/>
      <c r="G58" s="73">
        <v>2.4300000000000002</v>
      </c>
      <c r="H58" s="73">
        <v>2.63</v>
      </c>
      <c r="I58" s="73"/>
      <c r="J58" s="73"/>
      <c r="K58" s="73">
        <v>2.63</v>
      </c>
      <c r="L58" s="73">
        <v>2.86</v>
      </c>
      <c r="M58" s="73"/>
      <c r="N58" s="73"/>
      <c r="O58" s="17">
        <f>K58/H58*100</f>
        <v>100</v>
      </c>
      <c r="P58" s="52">
        <f>L58/K58*100</f>
        <v>108.74524714828897</v>
      </c>
      <c r="Q58" s="193" t="s">
        <v>109</v>
      </c>
    </row>
    <row r="59" spans="1:17" x14ac:dyDescent="0.25">
      <c r="A59" s="191"/>
      <c r="B59" s="67" t="s">
        <v>75</v>
      </c>
      <c r="C59" s="59"/>
      <c r="D59" s="77">
        <v>2.4500000000000002</v>
      </c>
      <c r="E59" s="58"/>
      <c r="F59" s="68"/>
      <c r="G59" s="68">
        <v>2.4500000000000002</v>
      </c>
      <c r="H59" s="68">
        <v>2.67</v>
      </c>
      <c r="I59" s="68"/>
      <c r="J59" s="68"/>
      <c r="K59" s="68">
        <v>2.67</v>
      </c>
      <c r="L59" s="68">
        <v>2.91</v>
      </c>
      <c r="M59" s="68"/>
      <c r="N59" s="68"/>
      <c r="O59" s="24">
        <f t="shared" ref="O59:O60" si="24">K59/H59*100</f>
        <v>100</v>
      </c>
      <c r="P59" s="26">
        <f t="shared" ref="P59:P60" si="25">L59/K59*100</f>
        <v>108.98876404494382</v>
      </c>
      <c r="Q59" s="194"/>
    </row>
    <row r="60" spans="1:17" ht="15.75" thickBot="1" x14ac:dyDescent="0.3">
      <c r="A60" s="192"/>
      <c r="B60" s="69" t="s">
        <v>76</v>
      </c>
      <c r="C60" s="70"/>
      <c r="D60" s="79">
        <v>1.19</v>
      </c>
      <c r="E60" s="118"/>
      <c r="F60" s="71"/>
      <c r="G60" s="71">
        <v>1.19</v>
      </c>
      <c r="H60" s="71">
        <v>1.3</v>
      </c>
      <c r="I60" s="71"/>
      <c r="J60" s="71"/>
      <c r="K60" s="71">
        <v>1.3</v>
      </c>
      <c r="L60" s="71">
        <v>1.41</v>
      </c>
      <c r="M60" s="71"/>
      <c r="N60" s="71"/>
      <c r="O60" s="34">
        <f t="shared" si="24"/>
        <v>100</v>
      </c>
      <c r="P60" s="53">
        <f t="shared" si="25"/>
        <v>108.46153846153845</v>
      </c>
      <c r="Q60" s="195"/>
    </row>
    <row r="61" spans="1:17" ht="25.5" customHeight="1" x14ac:dyDescent="0.25">
      <c r="A61" s="183" t="s">
        <v>77</v>
      </c>
      <c r="B61" s="72" t="s">
        <v>74</v>
      </c>
      <c r="C61" s="55">
        <v>42.887999999999998</v>
      </c>
      <c r="D61" s="73"/>
      <c r="E61" s="119">
        <f>35.74*1.2</f>
        <v>42.887999999999998</v>
      </c>
      <c r="F61" s="119">
        <f>41.06*1.2</f>
        <v>49.271999999999998</v>
      </c>
      <c r="G61" s="119"/>
      <c r="H61" s="119"/>
      <c r="I61" s="119">
        <v>39.049999999999997</v>
      </c>
      <c r="J61" s="119">
        <v>41.05</v>
      </c>
      <c r="K61" s="119"/>
      <c r="L61" s="119"/>
      <c r="M61" s="24">
        <f>I61/F61*100</f>
        <v>79.253937327488217</v>
      </c>
      <c r="N61" s="24">
        <f>J61/I61*100</f>
        <v>105.12163892445582</v>
      </c>
      <c r="O61" s="119"/>
      <c r="P61" s="120"/>
      <c r="Q61" s="166" t="s">
        <v>111</v>
      </c>
    </row>
    <row r="62" spans="1:17" ht="25.5" customHeight="1" x14ac:dyDescent="0.25">
      <c r="A62" s="184"/>
      <c r="B62" s="75" t="s">
        <v>75</v>
      </c>
      <c r="C62" s="59">
        <v>48.756</v>
      </c>
      <c r="D62" s="68"/>
      <c r="E62" s="68">
        <f>40.63*1.2</f>
        <v>48.756</v>
      </c>
      <c r="F62" s="76">
        <f>47.25*1.2</f>
        <v>56.699999999999996</v>
      </c>
      <c r="G62" s="68"/>
      <c r="H62" s="68"/>
      <c r="I62" s="68">
        <v>44.92</v>
      </c>
      <c r="J62" s="68">
        <v>47.26</v>
      </c>
      <c r="K62" s="68"/>
      <c r="L62" s="68"/>
      <c r="M62" s="24">
        <f>I62/F62*100</f>
        <v>79.223985890652571</v>
      </c>
      <c r="N62" s="24">
        <f t="shared" ref="N62:N63" si="26">J62/I62*100</f>
        <v>105.20926090828138</v>
      </c>
      <c r="O62" s="68"/>
      <c r="P62" s="77"/>
      <c r="Q62" s="167"/>
    </row>
    <row r="63" spans="1:17" ht="21" customHeight="1" thickBot="1" x14ac:dyDescent="0.3">
      <c r="A63" s="185"/>
      <c r="B63" s="78" t="s">
        <v>76</v>
      </c>
      <c r="C63" s="70">
        <v>30.875999999999998</v>
      </c>
      <c r="D63" s="71"/>
      <c r="E63" s="68">
        <f>25.73*1.2</f>
        <v>30.875999999999998</v>
      </c>
      <c r="F63" s="76">
        <f>29.25*1.2</f>
        <v>35.1</v>
      </c>
      <c r="G63" s="71"/>
      <c r="H63" s="71"/>
      <c r="I63" s="71">
        <v>27.06</v>
      </c>
      <c r="J63" s="71">
        <v>28.77</v>
      </c>
      <c r="K63" s="71"/>
      <c r="L63" s="71"/>
      <c r="M63" s="24">
        <f t="shared" ref="M63" si="27">I63/F63*100</f>
        <v>77.09401709401709</v>
      </c>
      <c r="N63" s="24">
        <f t="shared" si="26"/>
        <v>106.31929046563194</v>
      </c>
      <c r="O63" s="71"/>
      <c r="P63" s="79"/>
      <c r="Q63" s="168"/>
    </row>
    <row r="64" spans="1:17" ht="69" customHeight="1" thickBot="1" x14ac:dyDescent="0.3">
      <c r="A64" s="80" t="s">
        <v>78</v>
      </c>
      <c r="B64" s="81" t="s">
        <v>79</v>
      </c>
      <c r="C64" s="82"/>
      <c r="D64" s="83">
        <v>62.89</v>
      </c>
      <c r="E64" s="83"/>
      <c r="F64" s="83"/>
      <c r="G64" s="83">
        <f>D64</f>
        <v>62.89</v>
      </c>
      <c r="H64" s="83">
        <v>68.930000000000007</v>
      </c>
      <c r="I64" s="83"/>
      <c r="J64" s="83"/>
      <c r="K64" s="83">
        <v>68.930000000000007</v>
      </c>
      <c r="L64" s="83">
        <v>75.13</v>
      </c>
      <c r="M64" s="83"/>
      <c r="N64" s="83"/>
      <c r="O64" s="20">
        <f>K64/G64*100</f>
        <v>109.60407059945938</v>
      </c>
      <c r="P64" s="21">
        <f>L64/K64*100</f>
        <v>108.9946322356013</v>
      </c>
      <c r="Q64" s="84" t="s">
        <v>110</v>
      </c>
    </row>
    <row r="65" spans="1:20" ht="54" customHeight="1" x14ac:dyDescent="0.25">
      <c r="A65" s="183" t="s">
        <v>80</v>
      </c>
      <c r="B65" s="72" t="s">
        <v>81</v>
      </c>
      <c r="C65" s="55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138"/>
      <c r="Q65" s="193" t="s">
        <v>134</v>
      </c>
    </row>
    <row r="66" spans="1:20" ht="27" customHeight="1" x14ac:dyDescent="0.25">
      <c r="A66" s="184"/>
      <c r="B66" s="85" t="s">
        <v>82</v>
      </c>
      <c r="C66" s="59"/>
      <c r="D66" s="86">
        <v>7435.28</v>
      </c>
      <c r="E66" s="86"/>
      <c r="F66" s="86"/>
      <c r="G66" s="86">
        <v>7435.28</v>
      </c>
      <c r="H66" s="86">
        <v>8137.61</v>
      </c>
      <c r="I66" s="86"/>
      <c r="J66" s="86"/>
      <c r="K66" s="86">
        <v>8137.61</v>
      </c>
      <c r="L66" s="86">
        <v>8869.99</v>
      </c>
      <c r="M66" s="68"/>
      <c r="N66" s="68"/>
      <c r="O66" s="64"/>
      <c r="P66" s="26">
        <f>L66/K66*100</f>
        <v>108.99993978576019</v>
      </c>
      <c r="Q66" s="194"/>
    </row>
    <row r="67" spans="1:20" x14ac:dyDescent="0.25">
      <c r="A67" s="184"/>
      <c r="B67" s="87" t="s">
        <v>83</v>
      </c>
      <c r="C67" s="59"/>
      <c r="D67" s="86">
        <v>7642.78</v>
      </c>
      <c r="E67" s="86"/>
      <c r="F67" s="86"/>
      <c r="G67" s="86">
        <v>7642.78</v>
      </c>
      <c r="H67" s="86">
        <v>8359.7199999999993</v>
      </c>
      <c r="I67" s="86"/>
      <c r="J67" s="86"/>
      <c r="K67" s="86">
        <v>8359.7199999999993</v>
      </c>
      <c r="L67" s="86">
        <v>9112.09</v>
      </c>
      <c r="M67" s="68"/>
      <c r="N67" s="68"/>
      <c r="O67" s="64"/>
      <c r="P67" s="26">
        <f t="shared" ref="P67:P72" si="28">L67/K67*100</f>
        <v>108.99994258180897</v>
      </c>
      <c r="Q67" s="194"/>
    </row>
    <row r="68" spans="1:20" ht="26.25" x14ac:dyDescent="0.25">
      <c r="A68" s="184"/>
      <c r="B68" s="85" t="s">
        <v>84</v>
      </c>
      <c r="C68" s="59"/>
      <c r="D68" s="86">
        <v>7642.78</v>
      </c>
      <c r="E68" s="86"/>
      <c r="F68" s="86"/>
      <c r="G68" s="86">
        <v>7642.78</v>
      </c>
      <c r="H68" s="86">
        <v>8359.7199999999993</v>
      </c>
      <c r="I68" s="86"/>
      <c r="J68" s="86"/>
      <c r="K68" s="86">
        <v>8359.7199999999993</v>
      </c>
      <c r="L68" s="86">
        <v>9112.09</v>
      </c>
      <c r="M68" s="68"/>
      <c r="N68" s="68"/>
      <c r="O68" s="64"/>
      <c r="P68" s="26">
        <f t="shared" si="28"/>
        <v>108.99994258180897</v>
      </c>
      <c r="Q68" s="194"/>
    </row>
    <row r="69" spans="1:20" x14ac:dyDescent="0.25">
      <c r="A69" s="184"/>
      <c r="B69" s="87" t="s">
        <v>85</v>
      </c>
      <c r="C69" s="59"/>
      <c r="D69" s="86">
        <v>7642.78</v>
      </c>
      <c r="E69" s="86"/>
      <c r="F69" s="86"/>
      <c r="G69" s="86">
        <v>7642.78</v>
      </c>
      <c r="H69" s="86">
        <v>8359.7199999999993</v>
      </c>
      <c r="I69" s="86"/>
      <c r="J69" s="86"/>
      <c r="K69" s="86">
        <v>8359.7199999999993</v>
      </c>
      <c r="L69" s="86">
        <v>9112.09</v>
      </c>
      <c r="M69" s="68"/>
      <c r="N69" s="68"/>
      <c r="O69" s="64"/>
      <c r="P69" s="26">
        <f t="shared" si="28"/>
        <v>108.99994258180897</v>
      </c>
      <c r="Q69" s="194"/>
    </row>
    <row r="70" spans="1:20" ht="18" customHeight="1" x14ac:dyDescent="0.25">
      <c r="A70" s="184"/>
      <c r="B70" s="87" t="s">
        <v>86</v>
      </c>
      <c r="C70" s="59"/>
      <c r="D70" s="86">
        <v>7642.78</v>
      </c>
      <c r="E70" s="86"/>
      <c r="F70" s="86"/>
      <c r="G70" s="86">
        <v>7642.78</v>
      </c>
      <c r="H70" s="86">
        <v>8359.7199999999993</v>
      </c>
      <c r="I70" s="86"/>
      <c r="J70" s="86"/>
      <c r="K70" s="86">
        <v>8359.7199999999993</v>
      </c>
      <c r="L70" s="86">
        <v>9112.09</v>
      </c>
      <c r="M70" s="68"/>
      <c r="N70" s="68"/>
      <c r="O70" s="64"/>
      <c r="P70" s="26">
        <f t="shared" si="28"/>
        <v>108.99994258180897</v>
      </c>
      <c r="Q70" s="194"/>
    </row>
    <row r="71" spans="1:20" ht="18" customHeight="1" x14ac:dyDescent="0.25">
      <c r="A71" s="184"/>
      <c r="B71" s="87" t="s">
        <v>87</v>
      </c>
      <c r="C71" s="59"/>
      <c r="D71" s="86">
        <v>9079.7999999999993</v>
      </c>
      <c r="E71" s="86"/>
      <c r="F71" s="86"/>
      <c r="G71" s="86">
        <v>9079.7999999999993</v>
      </c>
      <c r="H71" s="86">
        <v>9915.52</v>
      </c>
      <c r="I71" s="86"/>
      <c r="J71" s="86"/>
      <c r="K71" s="86">
        <v>9915.52</v>
      </c>
      <c r="L71" s="86">
        <v>10807.91</v>
      </c>
      <c r="M71" s="68"/>
      <c r="N71" s="68"/>
      <c r="O71" s="64"/>
      <c r="P71" s="26">
        <f t="shared" si="28"/>
        <v>108.99993142064157</v>
      </c>
      <c r="Q71" s="194"/>
    </row>
    <row r="72" spans="1:20" ht="31.5" customHeight="1" thickBot="1" x14ac:dyDescent="0.3">
      <c r="A72" s="185"/>
      <c r="B72" s="88" t="s">
        <v>88</v>
      </c>
      <c r="C72" s="70"/>
      <c r="D72" s="89">
        <v>7954.71</v>
      </c>
      <c r="E72" s="89"/>
      <c r="F72" s="89"/>
      <c r="G72" s="89">
        <v>7954.71</v>
      </c>
      <c r="H72" s="89">
        <v>8845.64</v>
      </c>
      <c r="I72" s="89"/>
      <c r="J72" s="89"/>
      <c r="K72" s="89">
        <v>8845.64</v>
      </c>
      <c r="L72" s="89">
        <v>9641.75</v>
      </c>
      <c r="M72" s="71"/>
      <c r="N72" s="71"/>
      <c r="O72" s="34"/>
      <c r="P72" s="53">
        <f t="shared" si="28"/>
        <v>109.0000271320108</v>
      </c>
      <c r="Q72" s="194"/>
    </row>
    <row r="73" spans="1:20" ht="68.25" customHeight="1" thickBot="1" x14ac:dyDescent="0.3">
      <c r="A73" s="133" t="s">
        <v>89</v>
      </c>
      <c r="B73" s="134" t="s">
        <v>90</v>
      </c>
      <c r="C73" s="135">
        <v>1475</v>
      </c>
      <c r="D73" s="136">
        <v>1475</v>
      </c>
      <c r="E73" s="137"/>
      <c r="F73" s="137"/>
      <c r="G73" s="136">
        <v>1475</v>
      </c>
      <c r="H73" s="136">
        <v>1616</v>
      </c>
      <c r="I73" s="137"/>
      <c r="J73" s="137"/>
      <c r="K73" s="136">
        <v>1616</v>
      </c>
      <c r="L73" s="136">
        <v>1761</v>
      </c>
      <c r="M73" s="137"/>
      <c r="N73" s="137"/>
      <c r="O73" s="14">
        <f>G73/D73*100</f>
        <v>100</v>
      </c>
      <c r="P73" s="30">
        <f>L73/K73*100</f>
        <v>108.97277227722772</v>
      </c>
      <c r="Q73" s="84" t="s">
        <v>113</v>
      </c>
    </row>
    <row r="74" spans="1:20" ht="90.75" thickBot="1" x14ac:dyDescent="0.3">
      <c r="A74" s="104" t="s">
        <v>91</v>
      </c>
      <c r="B74" s="105" t="s">
        <v>92</v>
      </c>
      <c r="C74" s="106">
        <v>960.19</v>
      </c>
      <c r="D74" s="107">
        <v>832.19</v>
      </c>
      <c r="E74" s="107">
        <v>960.19</v>
      </c>
      <c r="F74" s="107">
        <v>1076.95</v>
      </c>
      <c r="G74" s="107">
        <v>832.19</v>
      </c>
      <c r="H74" s="107">
        <v>912.08</v>
      </c>
      <c r="I74" s="107">
        <v>1076.95</v>
      </c>
      <c r="J74" s="107">
        <v>1205.06</v>
      </c>
      <c r="K74" s="107">
        <v>912.08</v>
      </c>
      <c r="L74" s="107">
        <v>994.17</v>
      </c>
      <c r="M74" s="121">
        <f>I74/F74*100</f>
        <v>100</v>
      </c>
      <c r="N74" s="121">
        <f>J74/I74*100</f>
        <v>111.89563118064905</v>
      </c>
      <c r="O74" s="108">
        <f>K74/H74*100</f>
        <v>100</v>
      </c>
      <c r="P74" s="109">
        <f>L74/K74*100</f>
        <v>109.00030699061485</v>
      </c>
      <c r="Q74" s="110" t="s">
        <v>133</v>
      </c>
      <c r="S74">
        <f>879.22*1.2</f>
        <v>1055.0640000000001</v>
      </c>
      <c r="T74">
        <f>897.46*1.2</f>
        <v>1076.952</v>
      </c>
    </row>
    <row r="75" spans="1:20" ht="38.25" x14ac:dyDescent="0.25">
      <c r="A75" s="183" t="s">
        <v>93</v>
      </c>
      <c r="B75" s="72" t="s">
        <v>94</v>
      </c>
      <c r="C75" s="55"/>
      <c r="D75" s="73"/>
      <c r="E75" s="73"/>
      <c r="F75" s="73"/>
      <c r="G75" s="73"/>
      <c r="H75" s="73"/>
      <c r="I75" s="73"/>
      <c r="J75" s="73"/>
      <c r="K75" s="73"/>
      <c r="L75" s="73"/>
      <c r="M75" s="90"/>
      <c r="N75" s="90"/>
      <c r="O75" s="90"/>
      <c r="P75" s="91"/>
      <c r="Q75" s="166" t="s">
        <v>101</v>
      </c>
    </row>
    <row r="76" spans="1:20" ht="31.5" customHeight="1" x14ac:dyDescent="0.25">
      <c r="A76" s="184"/>
      <c r="B76" s="92" t="s">
        <v>95</v>
      </c>
      <c r="C76" s="93">
        <v>2754.5639999999999</v>
      </c>
      <c r="D76" s="94"/>
      <c r="E76" s="94">
        <f>2295.47*1.2</f>
        <v>2754.5639999999999</v>
      </c>
      <c r="F76" s="94">
        <f>2456.15*1.2</f>
        <v>2947.38</v>
      </c>
      <c r="G76" s="94"/>
      <c r="H76" s="94"/>
      <c r="I76" s="94">
        <f>2456.15*1.2</f>
        <v>2947.38</v>
      </c>
      <c r="J76" s="94">
        <f>2628.08*1.2</f>
        <v>3153.6959999999999</v>
      </c>
      <c r="K76" s="94"/>
      <c r="L76" s="94"/>
      <c r="M76" s="95">
        <f t="shared" ref="M76:M79" si="29">E76/C76*100</f>
        <v>100</v>
      </c>
      <c r="N76" s="95">
        <f t="shared" ref="N76:N79" si="30">F76/E76*100</f>
        <v>106.99987366421692</v>
      </c>
      <c r="O76" s="95"/>
      <c r="P76" s="96"/>
      <c r="Q76" s="167"/>
      <c r="R76">
        <v>2295.4699999999998</v>
      </c>
    </row>
    <row r="77" spans="1:20" ht="31.5" customHeight="1" x14ac:dyDescent="0.25">
      <c r="A77" s="184"/>
      <c r="B77" s="92" t="s">
        <v>96</v>
      </c>
      <c r="C77" s="93">
        <v>3213.6479999999997</v>
      </c>
      <c r="D77" s="94"/>
      <c r="E77" s="94">
        <f>2678.04*1.2</f>
        <v>3213.6479999999997</v>
      </c>
      <c r="F77" s="94">
        <f>2865.5*1.2</f>
        <v>3438.6</v>
      </c>
      <c r="G77" s="94"/>
      <c r="H77" s="94"/>
      <c r="I77" s="94">
        <f>2865.5*1.2</f>
        <v>3438.6</v>
      </c>
      <c r="J77" s="94">
        <f>3066.09*1.2</f>
        <v>3679.308</v>
      </c>
      <c r="K77" s="94"/>
      <c r="L77" s="94"/>
      <c r="M77" s="95">
        <f t="shared" si="29"/>
        <v>100</v>
      </c>
      <c r="N77" s="95">
        <f t="shared" si="30"/>
        <v>106.99989544592314</v>
      </c>
      <c r="O77" s="95"/>
      <c r="P77" s="96"/>
      <c r="Q77" s="167"/>
      <c r="R77">
        <v>2678.04</v>
      </c>
    </row>
    <row r="78" spans="1:20" ht="32.25" customHeight="1" x14ac:dyDescent="0.25">
      <c r="A78" s="184"/>
      <c r="B78" s="92" t="s">
        <v>97</v>
      </c>
      <c r="C78" s="93">
        <v>3328.4279999999999</v>
      </c>
      <c r="D78" s="94"/>
      <c r="E78" s="94">
        <f>2773.69*1.2</f>
        <v>3328.4279999999999</v>
      </c>
      <c r="F78" s="94">
        <f>2967.85*1.2</f>
        <v>3561.4199999999996</v>
      </c>
      <c r="G78" s="94"/>
      <c r="H78" s="94"/>
      <c r="I78" s="94">
        <f>2967.85*1.2</f>
        <v>3561.4199999999996</v>
      </c>
      <c r="J78" s="94">
        <f>3175.6*1.2</f>
        <v>3810.72</v>
      </c>
      <c r="K78" s="94"/>
      <c r="L78" s="94"/>
      <c r="M78" s="95">
        <f t="shared" si="29"/>
        <v>100</v>
      </c>
      <c r="N78" s="95">
        <f t="shared" si="30"/>
        <v>107.00006129019464</v>
      </c>
      <c r="O78" s="95"/>
      <c r="P78" s="96"/>
      <c r="Q78" s="167"/>
    </row>
    <row r="79" spans="1:20" ht="20.25" customHeight="1" x14ac:dyDescent="0.25">
      <c r="A79" s="184"/>
      <c r="B79" s="92" t="s">
        <v>98</v>
      </c>
      <c r="C79" s="93">
        <v>3443.2080000000001</v>
      </c>
      <c r="D79" s="94"/>
      <c r="E79" s="94">
        <f>2869.34*1.2</f>
        <v>3443.2080000000001</v>
      </c>
      <c r="F79" s="94">
        <f>3070.19*1.2</f>
        <v>3684.2280000000001</v>
      </c>
      <c r="G79" s="94"/>
      <c r="H79" s="94"/>
      <c r="I79" s="94">
        <f>3070.19*1.2</f>
        <v>3684.2280000000001</v>
      </c>
      <c r="J79" s="94">
        <f>3285.1*1.2</f>
        <v>3942.12</v>
      </c>
      <c r="K79" s="94"/>
      <c r="L79" s="94"/>
      <c r="M79" s="95">
        <f t="shared" si="29"/>
        <v>100</v>
      </c>
      <c r="N79" s="95">
        <f t="shared" si="30"/>
        <v>106.99986756536346</v>
      </c>
      <c r="O79" s="95"/>
      <c r="P79" s="96"/>
      <c r="Q79" s="167"/>
    </row>
    <row r="80" spans="1:20" x14ac:dyDescent="0.25">
      <c r="A80" s="184"/>
      <c r="B80" s="97" t="s">
        <v>3</v>
      </c>
      <c r="C80" s="93"/>
      <c r="D80" s="94">
        <v>3161.6159999999995</v>
      </c>
      <c r="E80" s="94"/>
      <c r="F80" s="94"/>
      <c r="G80" s="94">
        <v>3161.62</v>
      </c>
      <c r="H80" s="94">
        <f>2819.11*1.2</f>
        <v>3382.9320000000002</v>
      </c>
      <c r="I80" s="94"/>
      <c r="J80" s="94"/>
      <c r="K80" s="94">
        <f>2819.11*1.2</f>
        <v>3382.9320000000002</v>
      </c>
      <c r="L80" s="94">
        <f>3016.45*1.2</f>
        <v>3619.74</v>
      </c>
      <c r="M80" s="95"/>
      <c r="N80" s="95"/>
      <c r="O80" s="95">
        <f t="shared" ref="O80" si="31">G80/D80*100</f>
        <v>100.00012651757837</v>
      </c>
      <c r="P80" s="96">
        <f>L80/K80*100</f>
        <v>107.00008158603245</v>
      </c>
      <c r="Q80" s="167"/>
    </row>
    <row r="81" spans="1:17" ht="26.25" x14ac:dyDescent="0.25">
      <c r="A81" s="184"/>
      <c r="B81" s="98" t="s">
        <v>99</v>
      </c>
      <c r="C81" s="93"/>
      <c r="D81" s="94"/>
      <c r="E81" s="94"/>
      <c r="F81" s="94"/>
      <c r="G81" s="94"/>
      <c r="H81" s="94"/>
      <c r="I81" s="94"/>
      <c r="J81" s="94"/>
      <c r="K81" s="94"/>
      <c r="L81" s="94"/>
      <c r="M81" s="95"/>
      <c r="N81" s="95"/>
      <c r="O81" s="95"/>
      <c r="P81" s="96"/>
      <c r="Q81" s="167"/>
    </row>
    <row r="82" spans="1:17" ht="29.25" customHeight="1" x14ac:dyDescent="0.25">
      <c r="A82" s="184"/>
      <c r="B82" s="92" t="s">
        <v>95</v>
      </c>
      <c r="C82" s="93">
        <v>1719.0719999999999</v>
      </c>
      <c r="D82" s="94"/>
      <c r="E82" s="94">
        <f>1432.56*1.2</f>
        <v>1719.0719999999999</v>
      </c>
      <c r="F82" s="94">
        <f>1532.84*1.2</f>
        <v>1839.4079999999999</v>
      </c>
      <c r="G82" s="94"/>
      <c r="H82" s="94"/>
      <c r="I82" s="94">
        <f>1532.84*1.2</f>
        <v>1839.4079999999999</v>
      </c>
      <c r="J82" s="94">
        <f>1640.14*1.2</f>
        <v>1968.1680000000001</v>
      </c>
      <c r="K82" s="94"/>
      <c r="L82" s="94"/>
      <c r="M82" s="95">
        <f t="shared" ref="M82:M85" si="32">E82/C82*100</f>
        <v>100</v>
      </c>
      <c r="N82" s="95">
        <f t="shared" ref="N82:N85" si="33">F82/E82*100</f>
        <v>107.00005584408332</v>
      </c>
      <c r="O82" s="95"/>
      <c r="P82" s="96"/>
      <c r="Q82" s="167"/>
    </row>
    <row r="83" spans="1:17" ht="29.25" customHeight="1" x14ac:dyDescent="0.25">
      <c r="A83" s="184"/>
      <c r="B83" s="92" t="s">
        <v>96</v>
      </c>
      <c r="C83" s="93">
        <v>1962.4439999999997</v>
      </c>
      <c r="D83" s="94"/>
      <c r="E83" s="94">
        <f>1635.37*1.2</f>
        <v>1962.4439999999997</v>
      </c>
      <c r="F83" s="94">
        <f>1749.85*1.2</f>
        <v>2099.8199999999997</v>
      </c>
      <c r="G83" s="94"/>
      <c r="H83" s="94"/>
      <c r="I83" s="94">
        <f>1749.85*1.2</f>
        <v>2099.8199999999997</v>
      </c>
      <c r="J83" s="94">
        <f>1872.34*1.2</f>
        <v>2246.808</v>
      </c>
      <c r="K83" s="94"/>
      <c r="L83" s="94"/>
      <c r="M83" s="95">
        <f t="shared" si="32"/>
        <v>100</v>
      </c>
      <c r="N83" s="95">
        <f t="shared" si="33"/>
        <v>107.00025070779088</v>
      </c>
      <c r="O83" s="95"/>
      <c r="P83" s="96"/>
      <c r="Q83" s="167"/>
    </row>
    <row r="84" spans="1:17" ht="26.25" x14ac:dyDescent="0.25">
      <c r="A84" s="184"/>
      <c r="B84" s="92" t="s">
        <v>97</v>
      </c>
      <c r="C84" s="93">
        <v>2420.0039999999999</v>
      </c>
      <c r="D84" s="94"/>
      <c r="E84" s="94">
        <f>2016.67*1.2</f>
        <v>2420.0039999999999</v>
      </c>
      <c r="F84" s="94">
        <f>2157.84*1.2</f>
        <v>2589.4079999999999</v>
      </c>
      <c r="G84" s="94"/>
      <c r="H84" s="94"/>
      <c r="I84" s="94">
        <f>2157.84*1.2</f>
        <v>2589.4079999999999</v>
      </c>
      <c r="J84" s="94">
        <f>2308.89*1.2</f>
        <v>2770.6679999999997</v>
      </c>
      <c r="K84" s="94"/>
      <c r="L84" s="94"/>
      <c r="M84" s="95">
        <f t="shared" si="32"/>
        <v>100</v>
      </c>
      <c r="N84" s="95">
        <f t="shared" si="33"/>
        <v>107.00015371875418</v>
      </c>
      <c r="O84" s="95"/>
      <c r="P84" s="96"/>
      <c r="Q84" s="167"/>
    </row>
    <row r="85" spans="1:17" x14ac:dyDescent="0.25">
      <c r="A85" s="184"/>
      <c r="B85" s="92" t="s">
        <v>98</v>
      </c>
      <c r="C85" s="93">
        <v>2991.8639999999996</v>
      </c>
      <c r="D85" s="94"/>
      <c r="E85" s="94">
        <f>2493.22*1.2</f>
        <v>2991.8639999999996</v>
      </c>
      <c r="F85" s="94">
        <f>2667.75*1.2</f>
        <v>3201.2999999999997</v>
      </c>
      <c r="G85" s="94"/>
      <c r="H85" s="94"/>
      <c r="I85" s="94">
        <f>2667.75*1.2</f>
        <v>3201.2999999999997</v>
      </c>
      <c r="J85" s="94">
        <f>2854.49*1.2</f>
        <v>3425.3879999999995</v>
      </c>
      <c r="K85" s="94"/>
      <c r="L85" s="94"/>
      <c r="M85" s="95">
        <f t="shared" si="32"/>
        <v>100</v>
      </c>
      <c r="N85" s="95">
        <f t="shared" si="33"/>
        <v>107.00018450036499</v>
      </c>
      <c r="O85" s="95"/>
      <c r="P85" s="96"/>
      <c r="Q85" s="167"/>
    </row>
    <row r="86" spans="1:17" ht="15.75" thickBot="1" x14ac:dyDescent="0.3">
      <c r="A86" s="185"/>
      <c r="B86" s="99" t="s">
        <v>3</v>
      </c>
      <c r="C86" s="100"/>
      <c r="D86" s="101">
        <v>2954.0039999999999</v>
      </c>
      <c r="E86" s="101"/>
      <c r="F86" s="101"/>
      <c r="G86" s="101">
        <f>2461.67*1.2</f>
        <v>2954.0039999999999</v>
      </c>
      <c r="H86" s="101">
        <f>2633.99*1.2</f>
        <v>3160.7879999999996</v>
      </c>
      <c r="I86" s="101"/>
      <c r="J86" s="101"/>
      <c r="K86" s="101">
        <f>2633.99*1.2</f>
        <v>3160.7879999999996</v>
      </c>
      <c r="L86" s="94">
        <f>2818.37*1.2</f>
        <v>3382.0439999999999</v>
      </c>
      <c r="M86" s="102"/>
      <c r="N86" s="102"/>
      <c r="O86" s="102">
        <f t="shared" ref="O86" si="34">G86/D86*100</f>
        <v>100</v>
      </c>
      <c r="P86" s="103">
        <f>L86/K86*100</f>
        <v>107.00002657565139</v>
      </c>
      <c r="Q86" s="168"/>
    </row>
  </sheetData>
  <mergeCells count="38">
    <mergeCell ref="A75:A86"/>
    <mergeCell ref="Q75:Q86"/>
    <mergeCell ref="I3:L3"/>
    <mergeCell ref="I4:J4"/>
    <mergeCell ref="K4:L4"/>
    <mergeCell ref="A57:Q57"/>
    <mergeCell ref="A58:A60"/>
    <mergeCell ref="Q58:Q60"/>
    <mergeCell ref="A61:A63"/>
    <mergeCell ref="Q61:Q63"/>
    <mergeCell ref="A65:A72"/>
    <mergeCell ref="Q65:Q72"/>
    <mergeCell ref="A33:A38"/>
    <mergeCell ref="Q33:Q36"/>
    <mergeCell ref="Q39:Q43"/>
    <mergeCell ref="A46:A56"/>
    <mergeCell ref="Q46:Q56"/>
    <mergeCell ref="A8:A19"/>
    <mergeCell ref="Q8:Q16"/>
    <mergeCell ref="A20:A21"/>
    <mergeCell ref="A22:A27"/>
    <mergeCell ref="Q22:Q27"/>
    <mergeCell ref="A28:A32"/>
    <mergeCell ref="Q28:Q32"/>
    <mergeCell ref="A39:A45"/>
    <mergeCell ref="Q44:Q45"/>
    <mergeCell ref="Q3:Q5"/>
    <mergeCell ref="E4:F4"/>
    <mergeCell ref="G4:H4"/>
    <mergeCell ref="M4:N4"/>
    <mergeCell ref="O4:P4"/>
    <mergeCell ref="A7:P7"/>
    <mergeCell ref="A1:P1"/>
    <mergeCell ref="A3:A5"/>
    <mergeCell ref="B3:B5"/>
    <mergeCell ref="C3:D3"/>
    <mergeCell ref="E3:H3"/>
    <mergeCell ref="M3:P3"/>
  </mergeCells>
  <printOptions horizontalCentered="1"/>
  <pageMargins left="0.23622047244094491" right="0.23622047244094491" top="0.15748031496062992" bottom="0.19685039370078741" header="0.31496062992125984" footer="0.31496062992125984"/>
  <pageSetup paperSize="9" scale="55" fitToHeight="9" orientation="landscape" r:id="rId1"/>
  <rowBreaks count="1" manualBreakCount="1">
    <brk id="3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2025-07-03T09:12:17Z</dcterms:modified>
</cp:coreProperties>
</file>