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<sst xmlns="http://schemas.openxmlformats.org/spreadsheetml/2006/main" count="669" uniqueCount="232">
  <si>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</si>
  <si>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</si>
  <si>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</si>
  <si>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</si>
  <si>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</si>
  <si>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</si>
  <si>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</si>
  <si>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СЕЛЬСКОГО ПОСЕЛЕНИЯ СЕЛИЯРОВО</t>
  </si>
  <si>
    <t xml:space="preserve">по ОКПО </t>
  </si>
  <si>
    <t>79553216</t>
  </si>
  <si>
    <t xml:space="preserve">Глава по БК </t>
  </si>
  <si>
    <t>Наименование публично-правового образования</t>
  </si>
  <si>
    <t>Бюджет сельского поселения Селиярово</t>
  </si>
  <si>
    <t xml:space="preserve">по ОКТМО </t>
  </si>
  <si>
    <t>71829428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</si>
  <si>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</si>
  <si>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</si>
  <si>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</si>
  <si>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</si>
  <si>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</si>
  <si>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</si>
  <si>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</si>
  <si>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</si>
  <si>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</si>
  <si>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</si>
  <si>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</si>
  <si>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</si>
  <si>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</si>
  <si>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</si>
  <si>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</si>
  <si>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</si>
  <si>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</si>
  <si>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</si>
  <si>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</si>
  <si>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</si>
  <si>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</si>
  <si>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</si>
  <si>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</si>
  <si>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</si>
  <si>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</si>
  <si>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</si>
  <si>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</si>
  <si>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</si>
  <si>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</si>
  <si>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</si>
  <si>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</si>
  <si>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</si>
  <si>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</si>
  <si>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</si>
  <si>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</si>
  <si>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</si>
  <si>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</si>
  <si>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</si>
  <si>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</si>
  <si>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</si>
  <si>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</si>
  <si>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</si>
  <si>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</si>
  <si>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</si>
  <si>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</si>
  <si>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</si>
  <si>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</si>
  <si>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</si>
  <si>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</si>
  <si>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</si>
  <si>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</si>
  <si>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</si>
  <si>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</si>
  <si>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</si>
  <si>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</si>
  <si>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</si>
  <si>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</si>
  <si>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</si>
  <si>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</si>
  <si>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</si>
  <si>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</si>
  <si>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</si>
  <si>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</si>
  <si>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</si>
  <si>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</si>
  <si>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</si>
  <si>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</si>
  <si>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</si>
  <si>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</si>
  <si>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</si>
  <si>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</si>
  <si>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</si>
  <si>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</si>
  <si>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</si>
  <si>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</si>
  <si>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</si>
  <si>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</si>
  <si>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</si>
  <si>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</si>
  <si>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</si>
  <si>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</si>
  <si>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650 0102 1900102030 129</t>
  </si>
  <si>
    <t>213</t>
  </si>
  <si>
    <t>650 0104 1900202040 121</t>
  </si>
  <si>
    <t>Прочие выплаты</t>
  </si>
  <si>
    <t>650 0104 1900202040 122</t>
  </si>
  <si>
    <t>212</t>
  </si>
  <si>
    <t>Прочие несоциальные выплаты персоналу в натуральной форме</t>
  </si>
  <si>
    <t>214</t>
  </si>
  <si>
    <t>650 0104 1900202040 129</t>
  </si>
  <si>
    <t>650 0104 1900202050 121</t>
  </si>
  <si>
    <t>650 0104 1900202050 122</t>
  </si>
  <si>
    <t>Социальные компенсации персоналу в натуральной форме</t>
  </si>
  <si>
    <t>267</t>
  </si>
  <si>
    <t>650 0104 1900202050 129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</si>
  <si>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</si>
  <si>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</si>
  <si>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</si>
  <si>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</si>
  <si>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650 0111 1900420610 870</t>
  </si>
  <si>
    <t>296</t>
  </si>
  <si>
    <t>Услуги связи</t>
  </si>
  <si>
    <t>650 0113 1900499990 244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</si>
  <si>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</si>
  <si>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</si>
  <si>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</si>
  <si>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</si>
  <si>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</si>
  <si>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</si>
  <si>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</si>
  <si>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</si>
  <si>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</si>
  <si>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</si>
  <si>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</si>
  <si>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Горюче-смазочные материалы</t>
  </si>
  <si>
    <t>343</t>
  </si>
  <si>
    <t>Прочие оборотные запасы (материалы)</t>
  </si>
  <si>
    <t>346</t>
  </si>
  <si>
    <t>Прочие материальные запасы однократного применения</t>
  </si>
  <si>
    <t>349</t>
  </si>
  <si>
    <t>Налоги, пошлины и сборы</t>
  </si>
  <si>
    <t>650 0113 1900499990 851</t>
  </si>
  <si>
    <t>291</t>
  </si>
  <si>
    <t>650 0113 1900499990 852</t>
  </si>
  <si>
    <t>650 0113 1900499990 853</t>
  </si>
  <si>
    <t>650 0113 7000099990 852</t>
  </si>
  <si>
    <t>Другие экономические санкции</t>
  </si>
  <si>
    <t>650 0113 7000099990 853</t>
  </si>
  <si>
    <t>295</t>
  </si>
  <si>
    <t>650 0203 7000051180 121</t>
  </si>
  <si>
    <t>650 0203 7000051180 129</t>
  </si>
  <si>
    <t>650 0304 3300459300 121</t>
  </si>
  <si>
    <t>650 0304 3300459300 129</t>
  </si>
  <si>
    <t>650 0310 1400199990 244</t>
  </si>
  <si>
    <t>Увеличение стоимости основных средств</t>
  </si>
  <si>
    <t>310</t>
  </si>
  <si>
    <t>650 0310 1400299990 244</t>
  </si>
  <si>
    <t>650 0310 1400399990 244</t>
  </si>
  <si>
    <t>650 0314 1300199990 123</t>
  </si>
  <si>
    <t>650 0314 1310182300 123</t>
  </si>
  <si>
    <t>650 0314 13101S2300 123</t>
  </si>
  <si>
    <t>650 0314 13101S2300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</si>
  <si>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</si>
  <si>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650 0405 0820120817 811</t>
  </si>
  <si>
    <t>245</t>
  </si>
  <si>
    <t>650 0405 0850120600 244</t>
  </si>
  <si>
    <t>650 0405 0850184200 244</t>
  </si>
  <si>
    <t>650 0409 1800199990 244</t>
  </si>
  <si>
    <t>650 0409 1810120817 243</t>
  </si>
  <si>
    <t>650 0410 7000020070 244</t>
  </si>
  <si>
    <t>650 0412 7000089020 540</t>
  </si>
  <si>
    <t>650 0501 1100399990 244</t>
  </si>
  <si>
    <t>650 0501 1100399990 247</t>
  </si>
  <si>
    <t>650 0501 2200620817 244</t>
  </si>
  <si>
    <t>650 0501 7000099990 244</t>
  </si>
  <si>
    <t>650 0503 1830189010 244</t>
  </si>
  <si>
    <t>650 0503 3800199990 244</t>
  </si>
  <si>
    <t>650 0503 3800199990 247</t>
  </si>
  <si>
    <t>650 0503 3800220817 244</t>
  </si>
  <si>
    <t>650 0503 3800299990 244</t>
  </si>
  <si>
    <t>650 0503 3800399990 244</t>
  </si>
  <si>
    <t>650 0503 7000099990 414</t>
  </si>
  <si>
    <t>650 0707 0250320829 244</t>
  </si>
  <si>
    <t>650 0707 3200499990 111</t>
  </si>
  <si>
    <t>650 0707 3200499990 119</t>
  </si>
  <si>
    <t>650 0801 0500100590 111</t>
  </si>
  <si>
    <t>650 0801 0500100590 112</t>
  </si>
  <si>
    <t>650 0801 0500100590 119</t>
  </si>
  <si>
    <t>650 0801 0500100590 244</t>
  </si>
  <si>
    <t>Строительные материалы</t>
  </si>
  <si>
    <t>344</t>
  </si>
  <si>
    <t>650 0801 0500100590 247</t>
  </si>
  <si>
    <t>650 0801 0500100590 851</t>
  </si>
  <si>
    <t>650 0801 0500220817 244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</si>
  <si>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</si>
  <si>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650 0801 2100120817 631</t>
  </si>
  <si>
    <t>246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</si>
  <si>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</si>
  <si>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</si>
  <si>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</si>
  <si>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</si>
  <si>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</si>
  <si>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</si>
  <si>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</si>
  <si>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650 1101 0500100590 112</t>
  </si>
  <si>
    <t>650 1101 0500100590 119</t>
  </si>
  <si>
    <t>650 1101 0500100590 244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</si>
  <si>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</si>
  <si>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</si>
  <si>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</si>
  <si>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</si>
  <si>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</si>
  <si>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</si>
  <si>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</si>
  <si>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</si>
  <si>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</si>
  <si>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</si>
  <si>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</si>
  <si>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</si>
  <si>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</si>
  <si>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</si>
  <si>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</si>
  <si>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</si>
  <si>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</si>
  <si>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</si>
  <si>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</si>
  <si>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</si>
  <si>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</si>
  <si>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Юдин А. А.</t>
  </si>
  <si>
    <t>(подпись)</t>
  </si>
  <si>
    <t>(расшифровка подписи)</t>
  </si>
  <si>
    <t>главный бухгалтер</t>
  </si>
  <si>
    <t>Ласточкина Ю. В.</t>
  </si>
  <si>
    <t>Исполнитель:</t>
  </si>
  <si>
    <t>(должность)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</si>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</sst>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left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 wrapText="1"/>
    </xf>
    <xf numFmtId="166" fontId="3" fillId="2" borderId="11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right" vertical="center" wrapText="1"/>
    </xf>
    <xf numFmtId="166" fontId="3" fillId="2" borderId="14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7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6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right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right" vertical="center" wrapText="1"/>
    </xf>
    <xf numFmtId="166" fontId="3" fillId="2" borderId="30" xfId="0" applyNumberFormat="1" applyFont="1" applyFill="1" applyBorder="1" applyAlignment="1">
      <alignment horizontal="right" vertical="center" wrapText="1"/>
    </xf>
    <xf numFmtId="166" fontId="3" fillId="2" borderId="31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6" fillId="2" borderId="32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0" max="16384" width="11.57421875" style="0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44774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9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10</v>
      </c>
      <c r="Z5" s="4"/>
      <c r="AA5" s="4"/>
      <c r="AB5" s="4"/>
      <c r="AC5" s="9"/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72373900.09</f>
        <v>72373900.09</v>
      </c>
      <c r="T12" s="21"/>
      <c r="U12" s="21"/>
      <c r="V12" s="21">
        <f>34425775.08</f>
        <v>34425775.08</v>
      </c>
      <c r="W12" s="21"/>
      <c r="X12" s="21"/>
      <c r="Y12" s="21"/>
      <c r="Z12" s="21"/>
      <c r="AA12" s="22">
        <f>37948125.01</f>
        <v>37948125.01</v>
      </c>
      <c r="AB12" s="22"/>
      <c r="AC12" s="22"/>
    </row>
    <row r="13" spans="1:29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543970</f>
        <v>543970</v>
      </c>
      <c r="T13" s="25"/>
      <c r="U13" s="25"/>
      <c r="V13" s="25">
        <f>372729.28</f>
        <v>372729.28</v>
      </c>
      <c r="W13" s="25"/>
      <c r="X13" s="25"/>
      <c r="Y13" s="25"/>
      <c r="Z13" s="25"/>
      <c r="AA13" s="26">
        <f>171240.72</f>
        <v>171240.72</v>
      </c>
      <c r="AB13" s="26"/>
      <c r="AC13" s="26"/>
    </row>
    <row r="14" spans="1:29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3070</f>
        <v>3070</v>
      </c>
      <c r="T14" s="25"/>
      <c r="U14" s="25"/>
      <c r="V14" s="25">
        <f>2193.1</f>
        <v>2193.1</v>
      </c>
      <c r="W14" s="25"/>
      <c r="X14" s="25"/>
      <c r="Y14" s="25"/>
      <c r="Z14" s="25"/>
      <c r="AA14" s="26">
        <f>876.9</f>
        <v>876.9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713720</f>
        <v>713720</v>
      </c>
      <c r="T15" s="25"/>
      <c r="U15" s="25"/>
      <c r="V15" s="25">
        <f>430727.08</f>
        <v>430727.08</v>
      </c>
      <c r="W15" s="25"/>
      <c r="X15" s="25"/>
      <c r="Y15" s="25"/>
      <c r="Z15" s="25"/>
      <c r="AA15" s="26">
        <f>282992.92</f>
        <v>282992.92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-77490</f>
        <v>-77490</v>
      </c>
      <c r="T16" s="25"/>
      <c r="U16" s="25"/>
      <c r="V16" s="25">
        <f>-43155.52</f>
        <v>-43155.52</v>
      </c>
      <c r="W16" s="25"/>
      <c r="X16" s="25"/>
      <c r="Y16" s="25"/>
      <c r="Z16" s="25"/>
      <c r="AA16" s="26">
        <f>-34334.48</f>
        <v>-34334.48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3500000</f>
        <v>3500000</v>
      </c>
      <c r="T17" s="25"/>
      <c r="U17" s="25"/>
      <c r="V17" s="25">
        <f>1859121.63</f>
        <v>1859121.63</v>
      </c>
      <c r="W17" s="25"/>
      <c r="X17" s="25"/>
      <c r="Y17" s="25"/>
      <c r="Z17" s="25"/>
      <c r="AA17" s="26">
        <f>1640878.37</f>
        <v>1640878.37</v>
      </c>
      <c r="AB17" s="26"/>
      <c r="AC17" s="26"/>
    </row>
    <row r="18" spans="1:29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7" t="s">
        <v>49</v>
      </c>
      <c r="T18" s="27"/>
      <c r="U18" s="27"/>
      <c r="V18" s="25">
        <f>1834.81</f>
        <v>1834.81</v>
      </c>
      <c r="W18" s="25"/>
      <c r="X18" s="25"/>
      <c r="Y18" s="25"/>
      <c r="Z18" s="25"/>
      <c r="AA18" s="28" t="s">
        <v>49</v>
      </c>
      <c r="AB18" s="28"/>
      <c r="AC18" s="28"/>
    </row>
    <row r="19" spans="1:29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65000</f>
        <v>65000</v>
      </c>
      <c r="T19" s="25"/>
      <c r="U19" s="25"/>
      <c r="V19" s="25">
        <f>5011.25</f>
        <v>5011.25</v>
      </c>
      <c r="W19" s="25"/>
      <c r="X19" s="25"/>
      <c r="Y19" s="25"/>
      <c r="Z19" s="25"/>
      <c r="AA19" s="26">
        <f>59988.75</f>
        <v>59988.75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50000</f>
        <v>50000</v>
      </c>
      <c r="T20" s="25"/>
      <c r="U20" s="25"/>
      <c r="V20" s="25">
        <f>9080.78</f>
        <v>9080.78</v>
      </c>
      <c r="W20" s="25"/>
      <c r="X20" s="25"/>
      <c r="Y20" s="25"/>
      <c r="Z20" s="25"/>
      <c r="AA20" s="26">
        <f>40919.22</f>
        <v>40919.22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780</f>
        <v>780</v>
      </c>
      <c r="T21" s="25"/>
      <c r="U21" s="25"/>
      <c r="V21" s="25">
        <f>244.9</f>
        <v>244.9</v>
      </c>
      <c r="W21" s="25"/>
      <c r="X21" s="25"/>
      <c r="Y21" s="25"/>
      <c r="Z21" s="25"/>
      <c r="AA21" s="26">
        <f>535.1</f>
        <v>535.1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35840</f>
        <v>35840</v>
      </c>
      <c r="T22" s="25"/>
      <c r="U22" s="25"/>
      <c r="V22" s="25">
        <f>9907.47</f>
        <v>9907.47</v>
      </c>
      <c r="W22" s="25"/>
      <c r="X22" s="25"/>
      <c r="Y22" s="25"/>
      <c r="Z22" s="25"/>
      <c r="AA22" s="26">
        <f>25932.53</f>
        <v>25932.53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36026.95</f>
        <v>36026.95</v>
      </c>
      <c r="T23" s="25"/>
      <c r="U23" s="25"/>
      <c r="V23" s="25">
        <f>16956.58</f>
        <v>16956.58</v>
      </c>
      <c r="W23" s="25"/>
      <c r="X23" s="25"/>
      <c r="Y23" s="25"/>
      <c r="Z23" s="25"/>
      <c r="AA23" s="26">
        <f>19070.37</f>
        <v>19070.37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13000</f>
        <v>13000</v>
      </c>
      <c r="T24" s="25"/>
      <c r="U24" s="25"/>
      <c r="V24" s="25">
        <f>343.49</f>
        <v>343.49</v>
      </c>
      <c r="W24" s="25"/>
      <c r="X24" s="25"/>
      <c r="Y24" s="25"/>
      <c r="Z24" s="25"/>
      <c r="AA24" s="26">
        <f>12656.51</f>
        <v>12656.51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6000</f>
        <v>6000</v>
      </c>
      <c r="T25" s="25"/>
      <c r="U25" s="25"/>
      <c r="V25" s="25">
        <f>3100</f>
        <v>3100</v>
      </c>
      <c r="W25" s="25"/>
      <c r="X25" s="25"/>
      <c r="Y25" s="25"/>
      <c r="Z25" s="25"/>
      <c r="AA25" s="26">
        <f>2900</f>
        <v>2900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260000</f>
        <v>260000</v>
      </c>
      <c r="T26" s="25"/>
      <c r="U26" s="25"/>
      <c r="V26" s="25">
        <f>143488.75</f>
        <v>143488.75</v>
      </c>
      <c r="W26" s="25"/>
      <c r="X26" s="25"/>
      <c r="Y26" s="25"/>
      <c r="Z26" s="25"/>
      <c r="AA26" s="26">
        <f>116511.25</f>
        <v>116511.25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34000</f>
        <v>34000</v>
      </c>
      <c r="T27" s="25"/>
      <c r="U27" s="25"/>
      <c r="V27" s="25">
        <f>17200</f>
        <v>17200</v>
      </c>
      <c r="W27" s="25"/>
      <c r="X27" s="25"/>
      <c r="Y27" s="25"/>
      <c r="Z27" s="25"/>
      <c r="AA27" s="26">
        <f>16800</f>
        <v>16800</v>
      </c>
      <c r="AB27" s="26"/>
      <c r="AC27" s="26"/>
    </row>
    <row r="28" spans="1:29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63100</f>
        <v>63100</v>
      </c>
      <c r="T28" s="25"/>
      <c r="U28" s="25"/>
      <c r="V28" s="25">
        <f>36844.78</f>
        <v>36844.78</v>
      </c>
      <c r="W28" s="25"/>
      <c r="X28" s="25"/>
      <c r="Y28" s="25"/>
      <c r="Z28" s="25"/>
      <c r="AA28" s="26">
        <f>26255.22</f>
        <v>26255.22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32721700</f>
        <v>32721700</v>
      </c>
      <c r="T29" s="25"/>
      <c r="U29" s="25"/>
      <c r="V29" s="25">
        <f>24541275</f>
        <v>24541275</v>
      </c>
      <c r="W29" s="25"/>
      <c r="X29" s="25"/>
      <c r="Y29" s="25"/>
      <c r="Z29" s="25"/>
      <c r="AA29" s="26">
        <f>8180425</f>
        <v>8180425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188820</f>
        <v>188820</v>
      </c>
      <c r="T30" s="25"/>
      <c r="U30" s="25"/>
      <c r="V30" s="27" t="s">
        <v>49</v>
      </c>
      <c r="W30" s="27"/>
      <c r="X30" s="27"/>
      <c r="Y30" s="27"/>
      <c r="Z30" s="27"/>
      <c r="AA30" s="26">
        <f>188820</f>
        <v>188820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9273.05</f>
        <v>9273.05</v>
      </c>
      <c r="T31" s="25"/>
      <c r="U31" s="25"/>
      <c r="V31" s="27" t="s">
        <v>49</v>
      </c>
      <c r="W31" s="27"/>
      <c r="X31" s="27"/>
      <c r="Y31" s="27"/>
      <c r="Z31" s="27"/>
      <c r="AA31" s="26">
        <f>9273.05</f>
        <v>9273.05</v>
      </c>
      <c r="AB31" s="26"/>
      <c r="AC31" s="26"/>
    </row>
    <row r="32" spans="1:29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261700</f>
        <v>261700</v>
      </c>
      <c r="T32" s="25"/>
      <c r="U32" s="25"/>
      <c r="V32" s="25">
        <f>128088.48</f>
        <v>128088.48</v>
      </c>
      <c r="W32" s="25"/>
      <c r="X32" s="25"/>
      <c r="Y32" s="25"/>
      <c r="Z32" s="25"/>
      <c r="AA32" s="26">
        <f>133611.52</f>
        <v>133611.52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7200</f>
        <v>7200</v>
      </c>
      <c r="T33" s="25"/>
      <c r="U33" s="25"/>
      <c r="V33" s="25">
        <f>3600.04</f>
        <v>3600.04</v>
      </c>
      <c r="W33" s="25"/>
      <c r="X33" s="25"/>
      <c r="Y33" s="25"/>
      <c r="Z33" s="25"/>
      <c r="AA33" s="26">
        <f>3599.96</f>
        <v>3599.96</v>
      </c>
      <c r="AB33" s="26"/>
      <c r="AC33" s="26"/>
    </row>
    <row r="34" spans="1:29" s="1" customFormat="1" ht="4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157703.83</f>
        <v>157703.83</v>
      </c>
      <c r="T34" s="25"/>
      <c r="U34" s="25"/>
      <c r="V34" s="25">
        <f>118277.87</f>
        <v>118277.87</v>
      </c>
      <c r="W34" s="25"/>
      <c r="X34" s="25"/>
      <c r="Y34" s="25"/>
      <c r="Z34" s="25"/>
      <c r="AA34" s="26">
        <f>39425.96</f>
        <v>39425.96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33780486.26</f>
        <v>33780486.26</v>
      </c>
      <c r="T35" s="25"/>
      <c r="U35" s="25"/>
      <c r="V35" s="25">
        <f>6768905.31</f>
        <v>6768905.31</v>
      </c>
      <c r="W35" s="25"/>
      <c r="X35" s="25"/>
      <c r="Y35" s="25"/>
      <c r="Z35" s="25"/>
      <c r="AA35" s="26">
        <f>27011580.95</f>
        <v>27011580.95</v>
      </c>
      <c r="AB35" s="26"/>
      <c r="AC35" s="26"/>
    </row>
    <row r="36" spans="1:29" s="1" customFormat="1" ht="13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23</v>
      </c>
      <c r="M38" s="13"/>
      <c r="N38" s="13"/>
      <c r="O38" s="13" t="s">
        <v>85</v>
      </c>
      <c r="P38" s="13"/>
      <c r="Q38" s="13"/>
      <c r="R38" s="14" t="s">
        <v>86</v>
      </c>
      <c r="S38" s="14"/>
      <c r="T38" s="14" t="s">
        <v>25</v>
      </c>
      <c r="U38" s="14"/>
      <c r="V38" s="14"/>
      <c r="W38" s="14" t="s">
        <v>26</v>
      </c>
      <c r="X38" s="14"/>
      <c r="Y38" s="14"/>
      <c r="Z38" s="14"/>
      <c r="AA38" s="14"/>
      <c r="AB38" s="15" t="s">
        <v>27</v>
      </c>
      <c r="AC38" s="15"/>
    </row>
    <row r="39" spans="1:29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29</v>
      </c>
      <c r="M39" s="16"/>
      <c r="N39" s="16"/>
      <c r="O39" s="16" t="s">
        <v>30</v>
      </c>
      <c r="P39" s="16"/>
      <c r="Q39" s="16"/>
      <c r="R39" s="17" t="s">
        <v>31</v>
      </c>
      <c r="S39" s="17"/>
      <c r="T39" s="17" t="s">
        <v>32</v>
      </c>
      <c r="U39" s="17"/>
      <c r="V39" s="17"/>
      <c r="W39" s="17" t="s">
        <v>33</v>
      </c>
      <c r="X39" s="17"/>
      <c r="Y39" s="17"/>
      <c r="Z39" s="17"/>
      <c r="AA39" s="17"/>
      <c r="AB39" s="18" t="s">
        <v>87</v>
      </c>
      <c r="AC39" s="18"/>
    </row>
    <row r="40" spans="1:29" s="1" customFormat="1" ht="13.5" customHeight="1">
      <c r="A40" s="19" t="s">
        <v>88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89</v>
      </c>
      <c r="M40" s="20"/>
      <c r="N40" s="20"/>
      <c r="O40" s="20" t="s">
        <v>36</v>
      </c>
      <c r="P40" s="20"/>
      <c r="Q40" s="20"/>
      <c r="R40" s="30" t="s">
        <v>36</v>
      </c>
      <c r="S40" s="30"/>
      <c r="T40" s="21">
        <f>92874757.17</f>
        <v>92874757.17</v>
      </c>
      <c r="U40" s="21"/>
      <c r="V40" s="21"/>
      <c r="W40" s="21">
        <f>32281861.43</f>
        <v>32281861.43</v>
      </c>
      <c r="X40" s="21"/>
      <c r="Y40" s="21"/>
      <c r="Z40" s="21"/>
      <c r="AA40" s="21"/>
      <c r="AB40" s="22">
        <f>60592895.74</f>
        <v>60592895.74</v>
      </c>
      <c r="AC40" s="22"/>
    </row>
    <row r="41" spans="1:29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89</v>
      </c>
      <c r="M41" s="32"/>
      <c r="N41" s="32"/>
      <c r="O41" s="32" t="s">
        <v>91</v>
      </c>
      <c r="P41" s="32"/>
      <c r="Q41" s="32"/>
      <c r="R41" s="3" t="s">
        <v>92</v>
      </c>
      <c r="S41" s="3"/>
      <c r="T41" s="33">
        <f>1430000</f>
        <v>1430000</v>
      </c>
      <c r="U41" s="33"/>
      <c r="V41" s="33"/>
      <c r="W41" s="33">
        <f>698199.3</f>
        <v>698199.3</v>
      </c>
      <c r="X41" s="33"/>
      <c r="Y41" s="33"/>
      <c r="Z41" s="33"/>
      <c r="AA41" s="33"/>
      <c r="AB41" s="34">
        <f>731800.7</f>
        <v>731800.7</v>
      </c>
      <c r="AC41" s="34"/>
    </row>
    <row r="42" spans="1:29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89</v>
      </c>
      <c r="M42" s="32"/>
      <c r="N42" s="32"/>
      <c r="O42" s="32" t="s">
        <v>91</v>
      </c>
      <c r="P42" s="32"/>
      <c r="Q42" s="32"/>
      <c r="R42" s="3" t="s">
        <v>94</v>
      </c>
      <c r="S42" s="3"/>
      <c r="T42" s="33">
        <f>10000</f>
        <v>10000</v>
      </c>
      <c r="U42" s="33"/>
      <c r="V42" s="33"/>
      <c r="W42" s="33">
        <f>7717.8</f>
        <v>7717.8</v>
      </c>
      <c r="X42" s="33"/>
      <c r="Y42" s="33"/>
      <c r="Z42" s="33"/>
      <c r="AA42" s="33"/>
      <c r="AB42" s="34">
        <f>2282.2</f>
        <v>2282.2</v>
      </c>
      <c r="AC42" s="34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89</v>
      </c>
      <c r="M43" s="32"/>
      <c r="N43" s="32"/>
      <c r="O43" s="32" t="s">
        <v>96</v>
      </c>
      <c r="P43" s="32"/>
      <c r="Q43" s="32"/>
      <c r="R43" s="3" t="s">
        <v>97</v>
      </c>
      <c r="S43" s="3"/>
      <c r="T43" s="33">
        <f>410000</f>
        <v>410000</v>
      </c>
      <c r="U43" s="33"/>
      <c r="V43" s="33"/>
      <c r="W43" s="33">
        <f>190440.99</f>
        <v>190440.99</v>
      </c>
      <c r="X43" s="33"/>
      <c r="Y43" s="33"/>
      <c r="Z43" s="33"/>
      <c r="AA43" s="33"/>
      <c r="AB43" s="34">
        <f>219559.01</f>
        <v>219559.01</v>
      </c>
      <c r="AC43" s="34"/>
    </row>
    <row r="44" spans="1:29" s="1" customFormat="1" ht="13.5" customHeight="1">
      <c r="A44" s="31" t="s">
        <v>90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89</v>
      </c>
      <c r="M44" s="32"/>
      <c r="N44" s="32"/>
      <c r="O44" s="32" t="s">
        <v>98</v>
      </c>
      <c r="P44" s="32"/>
      <c r="Q44" s="32"/>
      <c r="R44" s="3" t="s">
        <v>92</v>
      </c>
      <c r="S44" s="3"/>
      <c r="T44" s="33">
        <f>1854226.95</f>
        <v>1854226.95</v>
      </c>
      <c r="U44" s="33"/>
      <c r="V44" s="33"/>
      <c r="W44" s="33">
        <f>772491.95</f>
        <v>772491.95</v>
      </c>
      <c r="X44" s="33"/>
      <c r="Y44" s="33"/>
      <c r="Z44" s="33"/>
      <c r="AA44" s="33"/>
      <c r="AB44" s="34">
        <f>1081735</f>
        <v>1081735</v>
      </c>
      <c r="AC44" s="34"/>
    </row>
    <row r="45" spans="1:29" s="1" customFormat="1" ht="13.5" customHeight="1">
      <c r="A45" s="31" t="s">
        <v>93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89</v>
      </c>
      <c r="M45" s="32"/>
      <c r="N45" s="32"/>
      <c r="O45" s="32" t="s">
        <v>98</v>
      </c>
      <c r="P45" s="32"/>
      <c r="Q45" s="32"/>
      <c r="R45" s="3" t="s">
        <v>94</v>
      </c>
      <c r="S45" s="3"/>
      <c r="T45" s="33">
        <f>15000</f>
        <v>15000</v>
      </c>
      <c r="U45" s="33"/>
      <c r="V45" s="33"/>
      <c r="W45" s="33">
        <f>8593.89</f>
        <v>8593.89</v>
      </c>
      <c r="X45" s="33"/>
      <c r="Y45" s="33"/>
      <c r="Z45" s="33"/>
      <c r="AA45" s="33"/>
      <c r="AB45" s="34">
        <f>6406.11</f>
        <v>6406.11</v>
      </c>
      <c r="AC45" s="34"/>
    </row>
    <row r="46" spans="1:29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89</v>
      </c>
      <c r="M46" s="32"/>
      <c r="N46" s="32"/>
      <c r="O46" s="32" t="s">
        <v>100</v>
      </c>
      <c r="P46" s="32"/>
      <c r="Q46" s="32"/>
      <c r="R46" s="3" t="s">
        <v>101</v>
      </c>
      <c r="S46" s="3"/>
      <c r="T46" s="33">
        <f>20000</f>
        <v>20000</v>
      </c>
      <c r="U46" s="33"/>
      <c r="V46" s="33"/>
      <c r="W46" s="35" t="s">
        <v>49</v>
      </c>
      <c r="X46" s="35"/>
      <c r="Y46" s="35"/>
      <c r="Z46" s="35"/>
      <c r="AA46" s="35"/>
      <c r="AB46" s="34">
        <f>20000</f>
        <v>20000</v>
      </c>
      <c r="AC46" s="34"/>
    </row>
    <row r="47" spans="1:29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89</v>
      </c>
      <c r="M47" s="32"/>
      <c r="N47" s="32"/>
      <c r="O47" s="32" t="s">
        <v>100</v>
      </c>
      <c r="P47" s="32"/>
      <c r="Q47" s="32"/>
      <c r="R47" s="3" t="s">
        <v>103</v>
      </c>
      <c r="S47" s="3"/>
      <c r="T47" s="33">
        <f>165000</f>
        <v>165000</v>
      </c>
      <c r="U47" s="33"/>
      <c r="V47" s="33"/>
      <c r="W47" s="35" t="s">
        <v>49</v>
      </c>
      <c r="X47" s="35"/>
      <c r="Y47" s="35"/>
      <c r="Z47" s="35"/>
      <c r="AA47" s="35"/>
      <c r="AB47" s="34">
        <f>165000</f>
        <v>165000</v>
      </c>
      <c r="AC47" s="34"/>
    </row>
    <row r="48" spans="1:29" s="1" customFormat="1" ht="13.5" customHeight="1">
      <c r="A48" s="31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89</v>
      </c>
      <c r="M48" s="32"/>
      <c r="N48" s="32"/>
      <c r="O48" s="32" t="s">
        <v>104</v>
      </c>
      <c r="P48" s="32"/>
      <c r="Q48" s="32"/>
      <c r="R48" s="3" t="s">
        <v>97</v>
      </c>
      <c r="S48" s="3"/>
      <c r="T48" s="33">
        <f>550000</f>
        <v>550000</v>
      </c>
      <c r="U48" s="33"/>
      <c r="V48" s="33"/>
      <c r="W48" s="33">
        <f>199713.48</f>
        <v>199713.48</v>
      </c>
      <c r="X48" s="33"/>
      <c r="Y48" s="33"/>
      <c r="Z48" s="33"/>
      <c r="AA48" s="33"/>
      <c r="AB48" s="34">
        <f>350286.52</f>
        <v>350286.52</v>
      </c>
      <c r="AC48" s="34"/>
    </row>
    <row r="49" spans="1:29" s="1" customFormat="1" ht="13.5" customHeight="1">
      <c r="A49" s="31" t="s">
        <v>90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89</v>
      </c>
      <c r="M49" s="32"/>
      <c r="N49" s="32"/>
      <c r="O49" s="32" t="s">
        <v>105</v>
      </c>
      <c r="P49" s="32"/>
      <c r="Q49" s="32"/>
      <c r="R49" s="3" t="s">
        <v>92</v>
      </c>
      <c r="S49" s="3"/>
      <c r="T49" s="33">
        <f>4799139.08</f>
        <v>4799139.08</v>
      </c>
      <c r="U49" s="33"/>
      <c r="V49" s="33"/>
      <c r="W49" s="33">
        <f>2597000.86</f>
        <v>2597000.86</v>
      </c>
      <c r="X49" s="33"/>
      <c r="Y49" s="33"/>
      <c r="Z49" s="33"/>
      <c r="AA49" s="33"/>
      <c r="AB49" s="34">
        <f>2202138.22</f>
        <v>2202138.22</v>
      </c>
      <c r="AC49" s="34"/>
    </row>
    <row r="50" spans="1:29" s="1" customFormat="1" ht="13.5" customHeight="1">
      <c r="A50" s="31" t="s">
        <v>93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89</v>
      </c>
      <c r="M50" s="32"/>
      <c r="N50" s="32"/>
      <c r="O50" s="32" t="s">
        <v>105</v>
      </c>
      <c r="P50" s="32"/>
      <c r="Q50" s="32"/>
      <c r="R50" s="3" t="s">
        <v>94</v>
      </c>
      <c r="S50" s="3"/>
      <c r="T50" s="33">
        <f>20000</f>
        <v>20000</v>
      </c>
      <c r="U50" s="33"/>
      <c r="V50" s="33"/>
      <c r="W50" s="33">
        <f>12366.93</f>
        <v>12366.93</v>
      </c>
      <c r="X50" s="33"/>
      <c r="Y50" s="33"/>
      <c r="Z50" s="33"/>
      <c r="AA50" s="33"/>
      <c r="AB50" s="34">
        <f>7633.07</f>
        <v>7633.07</v>
      </c>
      <c r="AC50" s="34"/>
    </row>
    <row r="51" spans="1:29" s="1" customFormat="1" ht="13.5" customHeight="1">
      <c r="A51" s="31" t="s">
        <v>99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89</v>
      </c>
      <c r="M51" s="32"/>
      <c r="N51" s="32"/>
      <c r="O51" s="32" t="s">
        <v>106</v>
      </c>
      <c r="P51" s="32"/>
      <c r="Q51" s="32"/>
      <c r="R51" s="3" t="s">
        <v>101</v>
      </c>
      <c r="S51" s="3"/>
      <c r="T51" s="33">
        <f>25000</f>
        <v>25000</v>
      </c>
      <c r="U51" s="33"/>
      <c r="V51" s="33"/>
      <c r="W51" s="35" t="s">
        <v>49</v>
      </c>
      <c r="X51" s="35"/>
      <c r="Y51" s="35"/>
      <c r="Z51" s="35"/>
      <c r="AA51" s="35"/>
      <c r="AB51" s="34">
        <f>25000</f>
        <v>25000</v>
      </c>
      <c r="AC51" s="34"/>
    </row>
    <row r="52" spans="1:29" s="1" customFormat="1" ht="13.5" customHeight="1">
      <c r="A52" s="31" t="s">
        <v>102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89</v>
      </c>
      <c r="M52" s="32"/>
      <c r="N52" s="32"/>
      <c r="O52" s="32" t="s">
        <v>106</v>
      </c>
      <c r="P52" s="32"/>
      <c r="Q52" s="32"/>
      <c r="R52" s="3" t="s">
        <v>103</v>
      </c>
      <c r="S52" s="3"/>
      <c r="T52" s="33">
        <f>150000</f>
        <v>150000</v>
      </c>
      <c r="U52" s="33"/>
      <c r="V52" s="33"/>
      <c r="W52" s="35" t="s">
        <v>49</v>
      </c>
      <c r="X52" s="35"/>
      <c r="Y52" s="35"/>
      <c r="Z52" s="35"/>
      <c r="AA52" s="35"/>
      <c r="AB52" s="34">
        <f>150000</f>
        <v>150000</v>
      </c>
      <c r="AC52" s="34"/>
    </row>
    <row r="53" spans="1:29" s="1" customFormat="1" ht="13.5" customHeight="1">
      <c r="A53" s="31" t="s">
        <v>107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89</v>
      </c>
      <c r="M53" s="32"/>
      <c r="N53" s="32"/>
      <c r="O53" s="32" t="s">
        <v>106</v>
      </c>
      <c r="P53" s="32"/>
      <c r="Q53" s="32"/>
      <c r="R53" s="3" t="s">
        <v>108</v>
      </c>
      <c r="S53" s="3"/>
      <c r="T53" s="33">
        <f>160000</f>
        <v>160000</v>
      </c>
      <c r="U53" s="33"/>
      <c r="V53" s="33"/>
      <c r="W53" s="35" t="s">
        <v>49</v>
      </c>
      <c r="X53" s="35"/>
      <c r="Y53" s="35"/>
      <c r="Z53" s="35"/>
      <c r="AA53" s="35"/>
      <c r="AB53" s="34">
        <f>160000</f>
        <v>160000</v>
      </c>
      <c r="AC53" s="34"/>
    </row>
    <row r="54" spans="1:29" s="1" customFormat="1" ht="13.5" customHeight="1">
      <c r="A54" s="31" t="s">
        <v>95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89</v>
      </c>
      <c r="M54" s="32"/>
      <c r="N54" s="32"/>
      <c r="O54" s="32" t="s">
        <v>109</v>
      </c>
      <c r="P54" s="32"/>
      <c r="Q54" s="32"/>
      <c r="R54" s="3" t="s">
        <v>97</v>
      </c>
      <c r="S54" s="3"/>
      <c r="T54" s="33">
        <f>1360000</f>
        <v>1360000</v>
      </c>
      <c r="U54" s="33"/>
      <c r="V54" s="33"/>
      <c r="W54" s="33">
        <f>626848.28</f>
        <v>626848.28</v>
      </c>
      <c r="X54" s="33"/>
      <c r="Y54" s="33"/>
      <c r="Z54" s="33"/>
      <c r="AA54" s="33"/>
      <c r="AB54" s="34">
        <f>733151.72</f>
        <v>733151.72</v>
      </c>
      <c r="AC54" s="34"/>
    </row>
    <row r="55" spans="1:29" s="1" customFormat="1" ht="24" customHeight="1">
      <c r="A55" s="31" t="s">
        <v>110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89</v>
      </c>
      <c r="M55" s="32"/>
      <c r="N55" s="32"/>
      <c r="O55" s="32" t="s">
        <v>111</v>
      </c>
      <c r="P55" s="32"/>
      <c r="Q55" s="32"/>
      <c r="R55" s="3" t="s">
        <v>112</v>
      </c>
      <c r="S55" s="3"/>
      <c r="T55" s="33">
        <f>20216</f>
        <v>20216</v>
      </c>
      <c r="U55" s="33"/>
      <c r="V55" s="33"/>
      <c r="W55" s="33">
        <f>20216</f>
        <v>20216</v>
      </c>
      <c r="X55" s="33"/>
      <c r="Y55" s="33"/>
      <c r="Z55" s="33"/>
      <c r="AA55" s="33"/>
      <c r="AB55" s="34">
        <f>0</f>
        <v>0</v>
      </c>
      <c r="AC55" s="34"/>
    </row>
    <row r="56" spans="1:29" s="1" customFormat="1" ht="13.5" customHeight="1">
      <c r="A56" s="31" t="s">
        <v>113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89</v>
      </c>
      <c r="M56" s="32"/>
      <c r="N56" s="32"/>
      <c r="O56" s="32" t="s">
        <v>114</v>
      </c>
      <c r="P56" s="32"/>
      <c r="Q56" s="32"/>
      <c r="R56" s="3" t="s">
        <v>115</v>
      </c>
      <c r="S56" s="3"/>
      <c r="T56" s="33">
        <f>100000</f>
        <v>100000</v>
      </c>
      <c r="U56" s="33"/>
      <c r="V56" s="33"/>
      <c r="W56" s="35" t="s">
        <v>49</v>
      </c>
      <c r="X56" s="35"/>
      <c r="Y56" s="35"/>
      <c r="Z56" s="35"/>
      <c r="AA56" s="35"/>
      <c r="AB56" s="34">
        <f>100000</f>
        <v>100000</v>
      </c>
      <c r="AC56" s="34"/>
    </row>
    <row r="57" spans="1:29" s="1" customFormat="1" ht="13.5" customHeight="1">
      <c r="A57" s="31" t="s">
        <v>116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89</v>
      </c>
      <c r="M57" s="32"/>
      <c r="N57" s="32"/>
      <c r="O57" s="32" t="s">
        <v>117</v>
      </c>
      <c r="P57" s="32"/>
      <c r="Q57" s="32"/>
      <c r="R57" s="3" t="s">
        <v>118</v>
      </c>
      <c r="S57" s="3"/>
      <c r="T57" s="33">
        <f>20000</f>
        <v>20000</v>
      </c>
      <c r="U57" s="33"/>
      <c r="V57" s="33"/>
      <c r="W57" s="33">
        <f>11819.44</f>
        <v>11819.44</v>
      </c>
      <c r="X57" s="33"/>
      <c r="Y57" s="33"/>
      <c r="Z57" s="33"/>
      <c r="AA57" s="33"/>
      <c r="AB57" s="34">
        <f>8180.56</f>
        <v>8180.56</v>
      </c>
      <c r="AC57" s="34"/>
    </row>
    <row r="58" spans="1:29" s="1" customFormat="1" ht="13.5" customHeight="1">
      <c r="A58" s="31" t="s">
        <v>119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89</v>
      </c>
      <c r="M58" s="32"/>
      <c r="N58" s="32"/>
      <c r="O58" s="32" t="s">
        <v>117</v>
      </c>
      <c r="P58" s="32"/>
      <c r="Q58" s="32"/>
      <c r="R58" s="3" t="s">
        <v>120</v>
      </c>
      <c r="S58" s="3"/>
      <c r="T58" s="33">
        <f>10000</f>
        <v>10000</v>
      </c>
      <c r="U58" s="33"/>
      <c r="V58" s="33"/>
      <c r="W58" s="35" t="s">
        <v>49</v>
      </c>
      <c r="X58" s="35"/>
      <c r="Y58" s="35"/>
      <c r="Z58" s="35"/>
      <c r="AA58" s="35"/>
      <c r="AB58" s="34">
        <f>10000</f>
        <v>10000</v>
      </c>
      <c r="AC58" s="34"/>
    </row>
    <row r="59" spans="1:29" s="1" customFormat="1" ht="13.5" customHeight="1">
      <c r="A59" s="31" t="s">
        <v>121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89</v>
      </c>
      <c r="M59" s="32"/>
      <c r="N59" s="32"/>
      <c r="O59" s="32" t="s">
        <v>117</v>
      </c>
      <c r="P59" s="32"/>
      <c r="Q59" s="32"/>
      <c r="R59" s="3" t="s">
        <v>122</v>
      </c>
      <c r="S59" s="3"/>
      <c r="T59" s="33">
        <f>11000</f>
        <v>11000</v>
      </c>
      <c r="U59" s="33"/>
      <c r="V59" s="33"/>
      <c r="W59" s="33">
        <f>3594.32</f>
        <v>3594.32</v>
      </c>
      <c r="X59" s="33"/>
      <c r="Y59" s="33"/>
      <c r="Z59" s="33"/>
      <c r="AA59" s="33"/>
      <c r="AB59" s="34">
        <f>7405.68</f>
        <v>7405.68</v>
      </c>
      <c r="AC59" s="34"/>
    </row>
    <row r="60" spans="1:29" s="1" customFormat="1" ht="13.5" customHeight="1">
      <c r="A60" s="31" t="s">
        <v>123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89</v>
      </c>
      <c r="M60" s="32"/>
      <c r="N60" s="32"/>
      <c r="O60" s="32" t="s">
        <v>117</v>
      </c>
      <c r="P60" s="32"/>
      <c r="Q60" s="32"/>
      <c r="R60" s="3" t="s">
        <v>124</v>
      </c>
      <c r="S60" s="3"/>
      <c r="T60" s="33">
        <f>225000</f>
        <v>225000</v>
      </c>
      <c r="U60" s="33"/>
      <c r="V60" s="33"/>
      <c r="W60" s="33">
        <f>174054.37</f>
        <v>174054.37</v>
      </c>
      <c r="X60" s="33"/>
      <c r="Y60" s="33"/>
      <c r="Z60" s="33"/>
      <c r="AA60" s="33"/>
      <c r="AB60" s="34">
        <f>50945.63</f>
        <v>50945.63</v>
      </c>
      <c r="AC60" s="34"/>
    </row>
    <row r="61" spans="1:29" s="1" customFormat="1" ht="13.5" customHeight="1">
      <c r="A61" s="31" t="s">
        <v>125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89</v>
      </c>
      <c r="M61" s="32"/>
      <c r="N61" s="32"/>
      <c r="O61" s="32" t="s">
        <v>117</v>
      </c>
      <c r="P61" s="32"/>
      <c r="Q61" s="32"/>
      <c r="R61" s="3" t="s">
        <v>126</v>
      </c>
      <c r="S61" s="3"/>
      <c r="T61" s="33">
        <f>470000</f>
        <v>470000</v>
      </c>
      <c r="U61" s="33"/>
      <c r="V61" s="33"/>
      <c r="W61" s="33">
        <f>319757.94</f>
        <v>319757.94</v>
      </c>
      <c r="X61" s="33"/>
      <c r="Y61" s="33"/>
      <c r="Z61" s="33"/>
      <c r="AA61" s="33"/>
      <c r="AB61" s="34">
        <f>150242.06</f>
        <v>150242.06</v>
      </c>
      <c r="AC61" s="34"/>
    </row>
    <row r="62" spans="1:29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89</v>
      </c>
      <c r="M62" s="32"/>
      <c r="N62" s="32"/>
      <c r="O62" s="32" t="s">
        <v>117</v>
      </c>
      <c r="P62" s="32"/>
      <c r="Q62" s="32"/>
      <c r="R62" s="3" t="s">
        <v>128</v>
      </c>
      <c r="S62" s="3"/>
      <c r="T62" s="33">
        <f>4000</f>
        <v>4000</v>
      </c>
      <c r="U62" s="33"/>
      <c r="V62" s="33"/>
      <c r="W62" s="33">
        <f>3034.86</f>
        <v>3034.86</v>
      </c>
      <c r="X62" s="33"/>
      <c r="Y62" s="33"/>
      <c r="Z62" s="33"/>
      <c r="AA62" s="33"/>
      <c r="AB62" s="34">
        <f>965.14</f>
        <v>965.14</v>
      </c>
      <c r="AC62" s="34"/>
    </row>
    <row r="63" spans="1:29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89</v>
      </c>
      <c r="M63" s="32"/>
      <c r="N63" s="32"/>
      <c r="O63" s="32" t="s">
        <v>117</v>
      </c>
      <c r="P63" s="32"/>
      <c r="Q63" s="32"/>
      <c r="R63" s="3" t="s">
        <v>130</v>
      </c>
      <c r="S63" s="3"/>
      <c r="T63" s="33">
        <f>250000</f>
        <v>250000</v>
      </c>
      <c r="U63" s="33"/>
      <c r="V63" s="33"/>
      <c r="W63" s="33">
        <f>105565.76</f>
        <v>105565.76</v>
      </c>
      <c r="X63" s="33"/>
      <c r="Y63" s="33"/>
      <c r="Z63" s="33"/>
      <c r="AA63" s="33"/>
      <c r="AB63" s="34">
        <f>144434.24</f>
        <v>144434.24</v>
      </c>
      <c r="AC63" s="34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89</v>
      </c>
      <c r="M64" s="32"/>
      <c r="N64" s="32"/>
      <c r="O64" s="32" t="s">
        <v>117</v>
      </c>
      <c r="P64" s="32"/>
      <c r="Q64" s="32"/>
      <c r="R64" s="3" t="s">
        <v>132</v>
      </c>
      <c r="S64" s="3"/>
      <c r="T64" s="33">
        <f>100988.81</f>
        <v>100988.81</v>
      </c>
      <c r="U64" s="33"/>
      <c r="V64" s="33"/>
      <c r="W64" s="35" t="s">
        <v>49</v>
      </c>
      <c r="X64" s="35"/>
      <c r="Y64" s="35"/>
      <c r="Z64" s="35"/>
      <c r="AA64" s="35"/>
      <c r="AB64" s="34">
        <f>100988.81</f>
        <v>100988.81</v>
      </c>
      <c r="AC64" s="34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89</v>
      </c>
      <c r="M65" s="32"/>
      <c r="N65" s="32"/>
      <c r="O65" s="32" t="s">
        <v>117</v>
      </c>
      <c r="P65" s="32"/>
      <c r="Q65" s="32"/>
      <c r="R65" s="3" t="s">
        <v>134</v>
      </c>
      <c r="S65" s="3"/>
      <c r="T65" s="33">
        <f>60000</f>
        <v>60000</v>
      </c>
      <c r="U65" s="33"/>
      <c r="V65" s="33"/>
      <c r="W65" s="33">
        <f>10006</f>
        <v>10006</v>
      </c>
      <c r="X65" s="33"/>
      <c r="Y65" s="33"/>
      <c r="Z65" s="33"/>
      <c r="AA65" s="33"/>
      <c r="AB65" s="34">
        <f>49994</f>
        <v>49994</v>
      </c>
      <c r="AC65" s="34"/>
    </row>
    <row r="66" spans="1:29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89</v>
      </c>
      <c r="M66" s="32"/>
      <c r="N66" s="32"/>
      <c r="O66" s="32" t="s">
        <v>136</v>
      </c>
      <c r="P66" s="32"/>
      <c r="Q66" s="32"/>
      <c r="R66" s="3" t="s">
        <v>137</v>
      </c>
      <c r="S66" s="3"/>
      <c r="T66" s="33">
        <f>65782</f>
        <v>65782</v>
      </c>
      <c r="U66" s="33"/>
      <c r="V66" s="33"/>
      <c r="W66" s="35" t="s">
        <v>49</v>
      </c>
      <c r="X66" s="35"/>
      <c r="Y66" s="35"/>
      <c r="Z66" s="35"/>
      <c r="AA66" s="35"/>
      <c r="AB66" s="34">
        <f>65782</f>
        <v>65782</v>
      </c>
      <c r="AC66" s="34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89</v>
      </c>
      <c r="M67" s="32"/>
      <c r="N67" s="32"/>
      <c r="O67" s="32" t="s">
        <v>138</v>
      </c>
      <c r="P67" s="32"/>
      <c r="Q67" s="32"/>
      <c r="R67" s="3" t="s">
        <v>137</v>
      </c>
      <c r="S67" s="3"/>
      <c r="T67" s="33">
        <f>5718.1</f>
        <v>5718.1</v>
      </c>
      <c r="U67" s="33"/>
      <c r="V67" s="33"/>
      <c r="W67" s="33">
        <f>1406</f>
        <v>1406</v>
      </c>
      <c r="X67" s="33"/>
      <c r="Y67" s="33"/>
      <c r="Z67" s="33"/>
      <c r="AA67" s="33"/>
      <c r="AB67" s="34">
        <f>4312.1</f>
        <v>4312.1</v>
      </c>
      <c r="AC67" s="34"/>
    </row>
    <row r="68" spans="1:29" s="1" customFormat="1" ht="13.5" customHeight="1">
      <c r="A68" s="31" t="s">
        <v>135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89</v>
      </c>
      <c r="M68" s="32"/>
      <c r="N68" s="32"/>
      <c r="O68" s="32" t="s">
        <v>139</v>
      </c>
      <c r="P68" s="32"/>
      <c r="Q68" s="32"/>
      <c r="R68" s="3" t="s">
        <v>137</v>
      </c>
      <c r="S68" s="3"/>
      <c r="T68" s="33">
        <f>15956.34</f>
        <v>15956.34</v>
      </c>
      <c r="U68" s="33"/>
      <c r="V68" s="33"/>
      <c r="W68" s="33">
        <f>15000</f>
        <v>15000</v>
      </c>
      <c r="X68" s="33"/>
      <c r="Y68" s="33"/>
      <c r="Z68" s="33"/>
      <c r="AA68" s="33"/>
      <c r="AB68" s="34">
        <f>956.34</f>
        <v>956.34</v>
      </c>
      <c r="AC68" s="34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89</v>
      </c>
      <c r="M69" s="32"/>
      <c r="N69" s="32"/>
      <c r="O69" s="32" t="s">
        <v>140</v>
      </c>
      <c r="P69" s="32"/>
      <c r="Q69" s="32"/>
      <c r="R69" s="3" t="s">
        <v>137</v>
      </c>
      <c r="S69" s="3"/>
      <c r="T69" s="33">
        <f>15858</f>
        <v>15858</v>
      </c>
      <c r="U69" s="33"/>
      <c r="V69" s="33"/>
      <c r="W69" s="35" t="s">
        <v>49</v>
      </c>
      <c r="X69" s="35"/>
      <c r="Y69" s="35"/>
      <c r="Z69" s="35"/>
      <c r="AA69" s="35"/>
      <c r="AB69" s="34">
        <f>15858</f>
        <v>15858</v>
      </c>
      <c r="AC69" s="34"/>
    </row>
    <row r="70" spans="1:29" s="1" customFormat="1" ht="13.5" customHeight="1">
      <c r="A70" s="31" t="s">
        <v>141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89</v>
      </c>
      <c r="M70" s="32"/>
      <c r="N70" s="32"/>
      <c r="O70" s="32" t="s">
        <v>142</v>
      </c>
      <c r="P70" s="32"/>
      <c r="Q70" s="32"/>
      <c r="R70" s="3" t="s">
        <v>143</v>
      </c>
      <c r="S70" s="3"/>
      <c r="T70" s="33">
        <f>682912.29</f>
        <v>682912.29</v>
      </c>
      <c r="U70" s="33"/>
      <c r="V70" s="33"/>
      <c r="W70" s="33">
        <f>643912.29</f>
        <v>643912.29</v>
      </c>
      <c r="X70" s="33"/>
      <c r="Y70" s="33"/>
      <c r="Z70" s="33"/>
      <c r="AA70" s="33"/>
      <c r="AB70" s="34">
        <f>39000</f>
        <v>39000</v>
      </c>
      <c r="AC70" s="34"/>
    </row>
    <row r="71" spans="1:29" s="1" customFormat="1" ht="13.5" customHeight="1">
      <c r="A71" s="31" t="s">
        <v>90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89</v>
      </c>
      <c r="M71" s="32"/>
      <c r="N71" s="32"/>
      <c r="O71" s="32" t="s">
        <v>144</v>
      </c>
      <c r="P71" s="32"/>
      <c r="Q71" s="32"/>
      <c r="R71" s="3" t="s">
        <v>92</v>
      </c>
      <c r="S71" s="3"/>
      <c r="T71" s="33">
        <f>204430</f>
        <v>204430</v>
      </c>
      <c r="U71" s="33"/>
      <c r="V71" s="33"/>
      <c r="W71" s="33">
        <f>98378.27</f>
        <v>98378.27</v>
      </c>
      <c r="X71" s="33"/>
      <c r="Y71" s="33"/>
      <c r="Z71" s="33"/>
      <c r="AA71" s="33"/>
      <c r="AB71" s="34">
        <f>106051.73</f>
        <v>106051.73</v>
      </c>
      <c r="AC71" s="34"/>
    </row>
    <row r="72" spans="1:29" s="1" customFormat="1" ht="13.5" customHeight="1">
      <c r="A72" s="31" t="s">
        <v>95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89</v>
      </c>
      <c r="M72" s="32"/>
      <c r="N72" s="32"/>
      <c r="O72" s="32" t="s">
        <v>145</v>
      </c>
      <c r="P72" s="32"/>
      <c r="Q72" s="32"/>
      <c r="R72" s="3" t="s">
        <v>97</v>
      </c>
      <c r="S72" s="3"/>
      <c r="T72" s="33">
        <f>57270</f>
        <v>57270</v>
      </c>
      <c r="U72" s="33"/>
      <c r="V72" s="33"/>
      <c r="W72" s="33">
        <f>29710.21</f>
        <v>29710.21</v>
      </c>
      <c r="X72" s="33"/>
      <c r="Y72" s="33"/>
      <c r="Z72" s="33"/>
      <c r="AA72" s="33"/>
      <c r="AB72" s="34">
        <f>27559.79</f>
        <v>27559.79</v>
      </c>
      <c r="AC72" s="34"/>
    </row>
    <row r="73" spans="1:29" s="1" customFormat="1" ht="13.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89</v>
      </c>
      <c r="M73" s="32"/>
      <c r="N73" s="32"/>
      <c r="O73" s="32" t="s">
        <v>146</v>
      </c>
      <c r="P73" s="32"/>
      <c r="Q73" s="32"/>
      <c r="R73" s="3" t="s">
        <v>92</v>
      </c>
      <c r="S73" s="3"/>
      <c r="T73" s="33">
        <f>5530</f>
        <v>5530</v>
      </c>
      <c r="U73" s="33"/>
      <c r="V73" s="33"/>
      <c r="W73" s="33">
        <f>2765</f>
        <v>2765</v>
      </c>
      <c r="X73" s="33"/>
      <c r="Y73" s="33"/>
      <c r="Z73" s="33"/>
      <c r="AA73" s="33"/>
      <c r="AB73" s="34">
        <f>2765</f>
        <v>2765</v>
      </c>
      <c r="AC73" s="34"/>
    </row>
    <row r="74" spans="1:29" s="1" customFormat="1" ht="13.5" customHeight="1">
      <c r="A74" s="31" t="s">
        <v>95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89</v>
      </c>
      <c r="M74" s="32"/>
      <c r="N74" s="32"/>
      <c r="O74" s="32" t="s">
        <v>147</v>
      </c>
      <c r="P74" s="32"/>
      <c r="Q74" s="32"/>
      <c r="R74" s="3" t="s">
        <v>97</v>
      </c>
      <c r="S74" s="3"/>
      <c r="T74" s="33">
        <f>1670</f>
        <v>1670</v>
      </c>
      <c r="U74" s="33"/>
      <c r="V74" s="33"/>
      <c r="W74" s="33">
        <f>835.04</f>
        <v>835.04</v>
      </c>
      <c r="X74" s="33"/>
      <c r="Y74" s="33"/>
      <c r="Z74" s="33"/>
      <c r="AA74" s="33"/>
      <c r="AB74" s="34">
        <f>834.96</f>
        <v>834.96</v>
      </c>
      <c r="AC74" s="34"/>
    </row>
    <row r="75" spans="1:29" s="1" customFormat="1" ht="13.5" customHeight="1">
      <c r="A75" s="31" t="s">
        <v>125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89</v>
      </c>
      <c r="M75" s="32"/>
      <c r="N75" s="32"/>
      <c r="O75" s="32" t="s">
        <v>148</v>
      </c>
      <c r="P75" s="32"/>
      <c r="Q75" s="32"/>
      <c r="R75" s="3" t="s">
        <v>126</v>
      </c>
      <c r="S75" s="3"/>
      <c r="T75" s="33">
        <f>85000</f>
        <v>85000</v>
      </c>
      <c r="U75" s="33"/>
      <c r="V75" s="33"/>
      <c r="W75" s="33">
        <f>19006</f>
        <v>19006</v>
      </c>
      <c r="X75" s="33"/>
      <c r="Y75" s="33"/>
      <c r="Z75" s="33"/>
      <c r="AA75" s="33"/>
      <c r="AB75" s="34">
        <f>65994</f>
        <v>65994</v>
      </c>
      <c r="AC75" s="34"/>
    </row>
    <row r="76" spans="1:29" s="1" customFormat="1" ht="13.5" customHeight="1">
      <c r="A76" s="31" t="s">
        <v>127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89</v>
      </c>
      <c r="M76" s="32"/>
      <c r="N76" s="32"/>
      <c r="O76" s="32" t="s">
        <v>148</v>
      </c>
      <c r="P76" s="32"/>
      <c r="Q76" s="32"/>
      <c r="R76" s="3" t="s">
        <v>128</v>
      </c>
      <c r="S76" s="3"/>
      <c r="T76" s="33">
        <f>12000</f>
        <v>12000</v>
      </c>
      <c r="U76" s="33"/>
      <c r="V76" s="33"/>
      <c r="W76" s="33">
        <f>10000</f>
        <v>10000</v>
      </c>
      <c r="X76" s="33"/>
      <c r="Y76" s="33"/>
      <c r="Z76" s="33"/>
      <c r="AA76" s="33"/>
      <c r="AB76" s="34">
        <f>2000</f>
        <v>2000</v>
      </c>
      <c r="AC76" s="34"/>
    </row>
    <row r="77" spans="1:29" s="1" customFormat="1" ht="13.5" customHeight="1">
      <c r="A77" s="31" t="s">
        <v>149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89</v>
      </c>
      <c r="M77" s="32"/>
      <c r="N77" s="32"/>
      <c r="O77" s="32" t="s">
        <v>148</v>
      </c>
      <c r="P77" s="32"/>
      <c r="Q77" s="32"/>
      <c r="R77" s="3" t="s">
        <v>150</v>
      </c>
      <c r="S77" s="3"/>
      <c r="T77" s="33">
        <f>18000</f>
        <v>18000</v>
      </c>
      <c r="U77" s="33"/>
      <c r="V77" s="33"/>
      <c r="W77" s="35" t="s">
        <v>49</v>
      </c>
      <c r="X77" s="35"/>
      <c r="Y77" s="35"/>
      <c r="Z77" s="35"/>
      <c r="AA77" s="35"/>
      <c r="AB77" s="34">
        <f>18000</f>
        <v>18000</v>
      </c>
      <c r="AC77" s="34"/>
    </row>
    <row r="78" spans="1:29" s="1" customFormat="1" ht="13.5" customHeight="1">
      <c r="A78" s="31" t="s">
        <v>131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89</v>
      </c>
      <c r="M78" s="32"/>
      <c r="N78" s="32"/>
      <c r="O78" s="32" t="s">
        <v>148</v>
      </c>
      <c r="P78" s="32"/>
      <c r="Q78" s="32"/>
      <c r="R78" s="3" t="s">
        <v>132</v>
      </c>
      <c r="S78" s="3"/>
      <c r="T78" s="33">
        <f>10000</f>
        <v>10000</v>
      </c>
      <c r="U78" s="33"/>
      <c r="V78" s="33"/>
      <c r="W78" s="35" t="s">
        <v>49</v>
      </c>
      <c r="X78" s="35"/>
      <c r="Y78" s="35"/>
      <c r="Z78" s="35"/>
      <c r="AA78" s="35"/>
      <c r="AB78" s="34">
        <f>10000</f>
        <v>10000</v>
      </c>
      <c r="AC78" s="34"/>
    </row>
    <row r="79" spans="1:29" s="1" customFormat="1" ht="13.5" customHeight="1">
      <c r="A79" s="31" t="s">
        <v>125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89</v>
      </c>
      <c r="M79" s="32"/>
      <c r="N79" s="32"/>
      <c r="O79" s="32" t="s">
        <v>151</v>
      </c>
      <c r="P79" s="32"/>
      <c r="Q79" s="32"/>
      <c r="R79" s="3" t="s">
        <v>126</v>
      </c>
      <c r="S79" s="3"/>
      <c r="T79" s="33">
        <f>2400</f>
        <v>2400</v>
      </c>
      <c r="U79" s="33"/>
      <c r="V79" s="33"/>
      <c r="W79" s="33">
        <f>2400</f>
        <v>2400</v>
      </c>
      <c r="X79" s="33"/>
      <c r="Y79" s="33"/>
      <c r="Z79" s="33"/>
      <c r="AA79" s="33"/>
      <c r="AB79" s="34">
        <f>0</f>
        <v>0</v>
      </c>
      <c r="AC79" s="34"/>
    </row>
    <row r="80" spans="1:29" s="1" customFormat="1" ht="13.5" customHeight="1">
      <c r="A80" s="31" t="s">
        <v>131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89</v>
      </c>
      <c r="M80" s="32"/>
      <c r="N80" s="32"/>
      <c r="O80" s="32" t="s">
        <v>151</v>
      </c>
      <c r="P80" s="32"/>
      <c r="Q80" s="32"/>
      <c r="R80" s="3" t="s">
        <v>132</v>
      </c>
      <c r="S80" s="3"/>
      <c r="T80" s="33">
        <f>130109.18</f>
        <v>130109.18</v>
      </c>
      <c r="U80" s="33"/>
      <c r="V80" s="33"/>
      <c r="W80" s="33">
        <f>14342</f>
        <v>14342</v>
      </c>
      <c r="X80" s="33"/>
      <c r="Y80" s="33"/>
      <c r="Z80" s="33"/>
      <c r="AA80" s="33"/>
      <c r="AB80" s="34">
        <f>115767.18</f>
        <v>115767.18</v>
      </c>
      <c r="AC80" s="34"/>
    </row>
    <row r="81" spans="1:29" s="1" customFormat="1" ht="13.5" customHeight="1">
      <c r="A81" s="31" t="s">
        <v>125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89</v>
      </c>
      <c r="M81" s="32"/>
      <c r="N81" s="32"/>
      <c r="O81" s="32" t="s">
        <v>152</v>
      </c>
      <c r="P81" s="32"/>
      <c r="Q81" s="32"/>
      <c r="R81" s="3" t="s">
        <v>126</v>
      </c>
      <c r="S81" s="3"/>
      <c r="T81" s="33">
        <f>90000</f>
        <v>90000</v>
      </c>
      <c r="U81" s="33"/>
      <c r="V81" s="33"/>
      <c r="W81" s="33">
        <f>5719.5</f>
        <v>5719.5</v>
      </c>
      <c r="X81" s="33"/>
      <c r="Y81" s="33"/>
      <c r="Z81" s="33"/>
      <c r="AA81" s="33"/>
      <c r="AB81" s="34">
        <f>84280.5</f>
        <v>84280.5</v>
      </c>
      <c r="AC81" s="34"/>
    </row>
    <row r="82" spans="1:29" s="1" customFormat="1" ht="13.5" customHeight="1">
      <c r="A82" s="31" t="s">
        <v>131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89</v>
      </c>
      <c r="M82" s="32"/>
      <c r="N82" s="32"/>
      <c r="O82" s="32" t="s">
        <v>152</v>
      </c>
      <c r="P82" s="32"/>
      <c r="Q82" s="32"/>
      <c r="R82" s="3" t="s">
        <v>132</v>
      </c>
      <c r="S82" s="3"/>
      <c r="T82" s="33">
        <f>40000</f>
        <v>40000</v>
      </c>
      <c r="U82" s="33"/>
      <c r="V82" s="33"/>
      <c r="W82" s="35" t="s">
        <v>49</v>
      </c>
      <c r="X82" s="35"/>
      <c r="Y82" s="35"/>
      <c r="Z82" s="35"/>
      <c r="AA82" s="35"/>
      <c r="AB82" s="34">
        <f>40000</f>
        <v>40000</v>
      </c>
      <c r="AC82" s="34"/>
    </row>
    <row r="83" spans="1:29" s="1" customFormat="1" ht="13.5" customHeight="1">
      <c r="A83" s="31" t="s">
        <v>125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89</v>
      </c>
      <c r="M83" s="32"/>
      <c r="N83" s="32"/>
      <c r="O83" s="32" t="s">
        <v>153</v>
      </c>
      <c r="P83" s="32"/>
      <c r="Q83" s="32"/>
      <c r="R83" s="3" t="s">
        <v>126</v>
      </c>
      <c r="S83" s="3"/>
      <c r="T83" s="33">
        <f>65825</f>
        <v>65825</v>
      </c>
      <c r="U83" s="33"/>
      <c r="V83" s="33"/>
      <c r="W83" s="33">
        <f>52800</f>
        <v>52800</v>
      </c>
      <c r="X83" s="33"/>
      <c r="Y83" s="33"/>
      <c r="Z83" s="33"/>
      <c r="AA83" s="33"/>
      <c r="AB83" s="34">
        <f>13025</f>
        <v>13025</v>
      </c>
      <c r="AC83" s="34"/>
    </row>
    <row r="84" spans="1:29" s="1" customFormat="1" ht="13.5" customHeight="1">
      <c r="A84" s="31" t="s">
        <v>125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89</v>
      </c>
      <c r="M84" s="32"/>
      <c r="N84" s="32"/>
      <c r="O84" s="32" t="s">
        <v>154</v>
      </c>
      <c r="P84" s="32"/>
      <c r="Q84" s="32"/>
      <c r="R84" s="3" t="s">
        <v>126</v>
      </c>
      <c r="S84" s="3"/>
      <c r="T84" s="33">
        <f>68000</f>
        <v>68000</v>
      </c>
      <c r="U84" s="33"/>
      <c r="V84" s="33"/>
      <c r="W84" s="33">
        <f>34000</f>
        <v>34000</v>
      </c>
      <c r="X84" s="33"/>
      <c r="Y84" s="33"/>
      <c r="Z84" s="33"/>
      <c r="AA84" s="33"/>
      <c r="AB84" s="34">
        <f>34000</f>
        <v>34000</v>
      </c>
      <c r="AC84" s="34"/>
    </row>
    <row r="85" spans="1:29" s="1" customFormat="1" ht="13.5" customHeight="1">
      <c r="A85" s="31" t="s">
        <v>125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89</v>
      </c>
      <c r="M85" s="32"/>
      <c r="N85" s="32"/>
      <c r="O85" s="32" t="s">
        <v>155</v>
      </c>
      <c r="P85" s="32"/>
      <c r="Q85" s="32"/>
      <c r="R85" s="3" t="s">
        <v>126</v>
      </c>
      <c r="S85" s="3"/>
      <c r="T85" s="33">
        <f>64000</f>
        <v>64000</v>
      </c>
      <c r="U85" s="33"/>
      <c r="V85" s="33"/>
      <c r="W85" s="33">
        <f>12400</f>
        <v>12400</v>
      </c>
      <c r="X85" s="33"/>
      <c r="Y85" s="33"/>
      <c r="Z85" s="33"/>
      <c r="AA85" s="33"/>
      <c r="AB85" s="34">
        <f>51600</f>
        <v>51600</v>
      </c>
      <c r="AC85" s="34"/>
    </row>
    <row r="86" spans="1:29" s="1" customFormat="1" ht="13.5" customHeight="1">
      <c r="A86" s="31" t="s">
        <v>127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89</v>
      </c>
      <c r="M86" s="32"/>
      <c r="N86" s="32"/>
      <c r="O86" s="32" t="s">
        <v>156</v>
      </c>
      <c r="P86" s="32"/>
      <c r="Q86" s="32"/>
      <c r="R86" s="3" t="s">
        <v>128</v>
      </c>
      <c r="S86" s="3"/>
      <c r="T86" s="33">
        <f>4000</f>
        <v>4000</v>
      </c>
      <c r="U86" s="33"/>
      <c r="V86" s="33"/>
      <c r="W86" s="33">
        <f>4000</f>
        <v>4000</v>
      </c>
      <c r="X86" s="33"/>
      <c r="Y86" s="33"/>
      <c r="Z86" s="33"/>
      <c r="AA86" s="33"/>
      <c r="AB86" s="34">
        <f>0</f>
        <v>0</v>
      </c>
      <c r="AC86" s="34"/>
    </row>
    <row r="87" spans="1:29" s="1" customFormat="1" ht="33.75" customHeight="1">
      <c r="A87" s="31" t="s">
        <v>157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89</v>
      </c>
      <c r="M87" s="32"/>
      <c r="N87" s="32"/>
      <c r="O87" s="32" t="s">
        <v>158</v>
      </c>
      <c r="P87" s="32"/>
      <c r="Q87" s="32"/>
      <c r="R87" s="3" t="s">
        <v>159</v>
      </c>
      <c r="S87" s="3"/>
      <c r="T87" s="33">
        <f>2491200</f>
        <v>2491200</v>
      </c>
      <c r="U87" s="33"/>
      <c r="V87" s="33"/>
      <c r="W87" s="33">
        <f>2126400</f>
        <v>2126400</v>
      </c>
      <c r="X87" s="33"/>
      <c r="Y87" s="33"/>
      <c r="Z87" s="33"/>
      <c r="AA87" s="33"/>
      <c r="AB87" s="34">
        <f>364800</f>
        <v>364800</v>
      </c>
      <c r="AC87" s="34"/>
    </row>
    <row r="88" spans="1:29" s="1" customFormat="1" ht="13.5" customHeight="1">
      <c r="A88" s="31" t="s">
        <v>125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89</v>
      </c>
      <c r="M88" s="32"/>
      <c r="N88" s="32"/>
      <c r="O88" s="32" t="s">
        <v>160</v>
      </c>
      <c r="P88" s="32"/>
      <c r="Q88" s="32"/>
      <c r="R88" s="3" t="s">
        <v>126</v>
      </c>
      <c r="S88" s="3"/>
      <c r="T88" s="33">
        <f>190727.27</f>
        <v>190727.27</v>
      </c>
      <c r="U88" s="33"/>
      <c r="V88" s="33"/>
      <c r="W88" s="35" t="s">
        <v>49</v>
      </c>
      <c r="X88" s="35"/>
      <c r="Y88" s="35"/>
      <c r="Z88" s="35"/>
      <c r="AA88" s="35"/>
      <c r="AB88" s="34">
        <f>190727.27</f>
        <v>190727.27</v>
      </c>
      <c r="AC88" s="34"/>
    </row>
    <row r="89" spans="1:29" s="1" customFormat="1" ht="13.5" customHeight="1">
      <c r="A89" s="31" t="s">
        <v>125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89</v>
      </c>
      <c r="M89" s="32"/>
      <c r="N89" s="32"/>
      <c r="O89" s="32" t="s">
        <v>161</v>
      </c>
      <c r="P89" s="32"/>
      <c r="Q89" s="32"/>
      <c r="R89" s="3" t="s">
        <v>126</v>
      </c>
      <c r="S89" s="3"/>
      <c r="T89" s="33">
        <f>9273.05</f>
        <v>9273.05</v>
      </c>
      <c r="U89" s="33"/>
      <c r="V89" s="33"/>
      <c r="W89" s="35" t="s">
        <v>49</v>
      </c>
      <c r="X89" s="35"/>
      <c r="Y89" s="35"/>
      <c r="Z89" s="35"/>
      <c r="AA89" s="35"/>
      <c r="AB89" s="34">
        <f>9273.05</f>
        <v>9273.05</v>
      </c>
      <c r="AC89" s="34"/>
    </row>
    <row r="90" spans="1:29" s="1" customFormat="1" ht="13.5" customHeight="1">
      <c r="A90" s="31" t="s">
        <v>123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89</v>
      </c>
      <c r="M90" s="32"/>
      <c r="N90" s="32"/>
      <c r="O90" s="32" t="s">
        <v>162</v>
      </c>
      <c r="P90" s="32"/>
      <c r="Q90" s="32"/>
      <c r="R90" s="3" t="s">
        <v>124</v>
      </c>
      <c r="S90" s="3"/>
      <c r="T90" s="33">
        <f>2372497.1</f>
        <v>2372497.1</v>
      </c>
      <c r="U90" s="33"/>
      <c r="V90" s="33"/>
      <c r="W90" s="33">
        <f>1012464</f>
        <v>1012464</v>
      </c>
      <c r="X90" s="33"/>
      <c r="Y90" s="33"/>
      <c r="Z90" s="33"/>
      <c r="AA90" s="33"/>
      <c r="AB90" s="34">
        <f>1360033.1</f>
        <v>1360033.1</v>
      </c>
      <c r="AC90" s="34"/>
    </row>
    <row r="91" spans="1:29" s="1" customFormat="1" ht="13.5" customHeight="1">
      <c r="A91" s="31" t="s">
        <v>123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89</v>
      </c>
      <c r="M91" s="32"/>
      <c r="N91" s="32"/>
      <c r="O91" s="32" t="s">
        <v>163</v>
      </c>
      <c r="P91" s="32"/>
      <c r="Q91" s="32"/>
      <c r="R91" s="3" t="s">
        <v>124</v>
      </c>
      <c r="S91" s="3"/>
      <c r="T91" s="33">
        <f>23376260.4</f>
        <v>23376260.4</v>
      </c>
      <c r="U91" s="33"/>
      <c r="V91" s="33"/>
      <c r="W91" s="35" t="s">
        <v>49</v>
      </c>
      <c r="X91" s="35"/>
      <c r="Y91" s="35"/>
      <c r="Z91" s="35"/>
      <c r="AA91" s="35"/>
      <c r="AB91" s="34">
        <f>23376260.4</f>
        <v>23376260.4</v>
      </c>
      <c r="AC91" s="34"/>
    </row>
    <row r="92" spans="1:29" s="1" customFormat="1" ht="13.5" customHeight="1">
      <c r="A92" s="31" t="s">
        <v>116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89</v>
      </c>
      <c r="M92" s="32"/>
      <c r="N92" s="32"/>
      <c r="O92" s="32" t="s">
        <v>164</v>
      </c>
      <c r="P92" s="32"/>
      <c r="Q92" s="32"/>
      <c r="R92" s="3" t="s">
        <v>118</v>
      </c>
      <c r="S92" s="3"/>
      <c r="T92" s="33">
        <f>293292.35</f>
        <v>293292.35</v>
      </c>
      <c r="U92" s="33"/>
      <c r="V92" s="33"/>
      <c r="W92" s="33">
        <f>154416.85</f>
        <v>154416.85</v>
      </c>
      <c r="X92" s="33"/>
      <c r="Y92" s="33"/>
      <c r="Z92" s="33"/>
      <c r="AA92" s="33"/>
      <c r="AB92" s="34">
        <f>138875.5</f>
        <v>138875.5</v>
      </c>
      <c r="AC92" s="34"/>
    </row>
    <row r="93" spans="1:29" s="1" customFormat="1" ht="13.5" customHeight="1">
      <c r="A93" s="31" t="s">
        <v>125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89</v>
      </c>
      <c r="M93" s="32"/>
      <c r="N93" s="32"/>
      <c r="O93" s="32" t="s">
        <v>164</v>
      </c>
      <c r="P93" s="32"/>
      <c r="Q93" s="32"/>
      <c r="R93" s="3" t="s">
        <v>126</v>
      </c>
      <c r="S93" s="3"/>
      <c r="T93" s="33">
        <f>400000</f>
        <v>400000</v>
      </c>
      <c r="U93" s="33"/>
      <c r="V93" s="33"/>
      <c r="W93" s="33">
        <f>215820</f>
        <v>215820</v>
      </c>
      <c r="X93" s="33"/>
      <c r="Y93" s="33"/>
      <c r="Z93" s="33"/>
      <c r="AA93" s="33"/>
      <c r="AB93" s="34">
        <f>184180</f>
        <v>184180</v>
      </c>
      <c r="AC93" s="34"/>
    </row>
    <row r="94" spans="1:29" s="1" customFormat="1" ht="24" customHeight="1">
      <c r="A94" s="31" t="s">
        <v>110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89</v>
      </c>
      <c r="M94" s="32"/>
      <c r="N94" s="32"/>
      <c r="O94" s="32" t="s">
        <v>165</v>
      </c>
      <c r="P94" s="32"/>
      <c r="Q94" s="32"/>
      <c r="R94" s="3" t="s">
        <v>112</v>
      </c>
      <c r="S94" s="3"/>
      <c r="T94" s="33">
        <f>297215.13</f>
        <v>297215.13</v>
      </c>
      <c r="U94" s="33"/>
      <c r="V94" s="33"/>
      <c r="W94" s="33">
        <f>222911.34</f>
        <v>222911.34</v>
      </c>
      <c r="X94" s="33"/>
      <c r="Y94" s="33"/>
      <c r="Z94" s="33"/>
      <c r="AA94" s="33"/>
      <c r="AB94" s="34">
        <f>74303.79</f>
        <v>74303.79</v>
      </c>
      <c r="AC94" s="34"/>
    </row>
    <row r="95" spans="1:29" s="1" customFormat="1" ht="13.5" customHeight="1">
      <c r="A95" s="31" t="s">
        <v>121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89</v>
      </c>
      <c r="M95" s="32"/>
      <c r="N95" s="32"/>
      <c r="O95" s="32" t="s">
        <v>166</v>
      </c>
      <c r="P95" s="32"/>
      <c r="Q95" s="32"/>
      <c r="R95" s="3" t="s">
        <v>122</v>
      </c>
      <c r="S95" s="3"/>
      <c r="T95" s="33">
        <f>8000</f>
        <v>8000</v>
      </c>
      <c r="U95" s="33"/>
      <c r="V95" s="33"/>
      <c r="W95" s="33">
        <f>2852.76</f>
        <v>2852.76</v>
      </c>
      <c r="X95" s="33"/>
      <c r="Y95" s="33"/>
      <c r="Z95" s="33"/>
      <c r="AA95" s="33"/>
      <c r="AB95" s="34">
        <f>5147.24</f>
        <v>5147.24</v>
      </c>
      <c r="AC95" s="34"/>
    </row>
    <row r="96" spans="1:29" s="1" customFormat="1" ht="13.5" customHeight="1">
      <c r="A96" s="31" t="s">
        <v>123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89</v>
      </c>
      <c r="M96" s="32"/>
      <c r="N96" s="32"/>
      <c r="O96" s="32" t="s">
        <v>166</v>
      </c>
      <c r="P96" s="32"/>
      <c r="Q96" s="32"/>
      <c r="R96" s="3" t="s">
        <v>124</v>
      </c>
      <c r="S96" s="3"/>
      <c r="T96" s="33">
        <f>2658548.98</f>
        <v>2658548.98</v>
      </c>
      <c r="U96" s="33"/>
      <c r="V96" s="33"/>
      <c r="W96" s="33">
        <f>570062.76</f>
        <v>570062.76</v>
      </c>
      <c r="X96" s="33"/>
      <c r="Y96" s="33"/>
      <c r="Z96" s="33"/>
      <c r="AA96" s="33"/>
      <c r="AB96" s="34">
        <f>2088486.22</f>
        <v>2088486.22</v>
      </c>
      <c r="AC96" s="34"/>
    </row>
    <row r="97" spans="1:29" s="1" customFormat="1" ht="13.5" customHeight="1">
      <c r="A97" s="31" t="s">
        <v>125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89</v>
      </c>
      <c r="M97" s="32"/>
      <c r="N97" s="32"/>
      <c r="O97" s="32" t="s">
        <v>166</v>
      </c>
      <c r="P97" s="32"/>
      <c r="Q97" s="32"/>
      <c r="R97" s="3" t="s">
        <v>126</v>
      </c>
      <c r="S97" s="3"/>
      <c r="T97" s="33">
        <f>241000</f>
        <v>241000</v>
      </c>
      <c r="U97" s="33"/>
      <c r="V97" s="33"/>
      <c r="W97" s="33">
        <f>96688.77</f>
        <v>96688.77</v>
      </c>
      <c r="X97" s="33"/>
      <c r="Y97" s="33"/>
      <c r="Z97" s="33"/>
      <c r="AA97" s="33"/>
      <c r="AB97" s="34">
        <f>144311.23</f>
        <v>144311.23</v>
      </c>
      <c r="AC97" s="34"/>
    </row>
    <row r="98" spans="1:29" s="1" customFormat="1" ht="13.5" customHeight="1">
      <c r="A98" s="31" t="s">
        <v>131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89</v>
      </c>
      <c r="M98" s="32"/>
      <c r="N98" s="32"/>
      <c r="O98" s="32" t="s">
        <v>166</v>
      </c>
      <c r="P98" s="32"/>
      <c r="Q98" s="32"/>
      <c r="R98" s="3" t="s">
        <v>132</v>
      </c>
      <c r="S98" s="3"/>
      <c r="T98" s="33">
        <f>47000</f>
        <v>47000</v>
      </c>
      <c r="U98" s="33"/>
      <c r="V98" s="33"/>
      <c r="W98" s="33">
        <f>15548</f>
        <v>15548</v>
      </c>
      <c r="X98" s="33"/>
      <c r="Y98" s="33"/>
      <c r="Z98" s="33"/>
      <c r="AA98" s="33"/>
      <c r="AB98" s="34">
        <f>31452</f>
        <v>31452</v>
      </c>
      <c r="AC98" s="34"/>
    </row>
    <row r="99" spans="1:29" s="1" customFormat="1" ht="13.5" customHeight="1">
      <c r="A99" s="31" t="s">
        <v>121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89</v>
      </c>
      <c r="M99" s="32"/>
      <c r="N99" s="32"/>
      <c r="O99" s="32" t="s">
        <v>167</v>
      </c>
      <c r="P99" s="32"/>
      <c r="Q99" s="32"/>
      <c r="R99" s="3" t="s">
        <v>122</v>
      </c>
      <c r="S99" s="3"/>
      <c r="T99" s="33">
        <f>41000</f>
        <v>41000</v>
      </c>
      <c r="U99" s="33"/>
      <c r="V99" s="33"/>
      <c r="W99" s="33">
        <f>20187.36</f>
        <v>20187.36</v>
      </c>
      <c r="X99" s="33"/>
      <c r="Y99" s="33"/>
      <c r="Z99" s="33"/>
      <c r="AA99" s="33"/>
      <c r="AB99" s="34">
        <f>20812.64</f>
        <v>20812.64</v>
      </c>
      <c r="AC99" s="34"/>
    </row>
    <row r="100" spans="1:29" s="1" customFormat="1" ht="13.5" customHeight="1">
      <c r="A100" s="31" t="s">
        <v>123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89</v>
      </c>
      <c r="M100" s="32"/>
      <c r="N100" s="32"/>
      <c r="O100" s="32" t="s">
        <v>168</v>
      </c>
      <c r="P100" s="32"/>
      <c r="Q100" s="32"/>
      <c r="R100" s="3" t="s">
        <v>124</v>
      </c>
      <c r="S100" s="3"/>
      <c r="T100" s="33">
        <f>162853.37</f>
        <v>162853.37</v>
      </c>
      <c r="U100" s="33"/>
      <c r="V100" s="33"/>
      <c r="W100" s="35" t="s">
        <v>49</v>
      </c>
      <c r="X100" s="35"/>
      <c r="Y100" s="35"/>
      <c r="Z100" s="35"/>
      <c r="AA100" s="35"/>
      <c r="AB100" s="34">
        <f>162853.37</f>
        <v>162853.37</v>
      </c>
      <c r="AC100" s="34"/>
    </row>
    <row r="101" spans="1:29" s="1" customFormat="1" ht="13.5" customHeight="1">
      <c r="A101" s="31" t="s">
        <v>125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89</v>
      </c>
      <c r="M101" s="32"/>
      <c r="N101" s="32"/>
      <c r="O101" s="32" t="s">
        <v>169</v>
      </c>
      <c r="P101" s="32"/>
      <c r="Q101" s="32"/>
      <c r="R101" s="3" t="s">
        <v>126</v>
      </c>
      <c r="S101" s="3"/>
      <c r="T101" s="33">
        <f>63100</f>
        <v>63100</v>
      </c>
      <c r="U101" s="33"/>
      <c r="V101" s="33"/>
      <c r="W101" s="35" t="s">
        <v>49</v>
      </c>
      <c r="X101" s="35"/>
      <c r="Y101" s="35"/>
      <c r="Z101" s="35"/>
      <c r="AA101" s="35"/>
      <c r="AB101" s="34">
        <f>63100</f>
        <v>63100</v>
      </c>
      <c r="AC101" s="34"/>
    </row>
    <row r="102" spans="1:29" s="1" customFormat="1" ht="13.5" customHeight="1">
      <c r="A102" s="31" t="s">
        <v>123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89</v>
      </c>
      <c r="M102" s="32"/>
      <c r="N102" s="32"/>
      <c r="O102" s="32" t="s">
        <v>170</v>
      </c>
      <c r="P102" s="32"/>
      <c r="Q102" s="32"/>
      <c r="R102" s="3" t="s">
        <v>124</v>
      </c>
      <c r="S102" s="3"/>
      <c r="T102" s="33">
        <f>157703.83</f>
        <v>157703.83</v>
      </c>
      <c r="U102" s="33"/>
      <c r="V102" s="33"/>
      <c r="W102" s="33">
        <f>78851.9</f>
        <v>78851.9</v>
      </c>
      <c r="X102" s="33"/>
      <c r="Y102" s="33"/>
      <c r="Z102" s="33"/>
      <c r="AA102" s="33"/>
      <c r="AB102" s="34">
        <f>78851.93</f>
        <v>78851.93</v>
      </c>
      <c r="AC102" s="34"/>
    </row>
    <row r="103" spans="1:29" s="1" customFormat="1" ht="13.5" customHeight="1">
      <c r="A103" s="31" t="s">
        <v>123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89</v>
      </c>
      <c r="M103" s="32"/>
      <c r="N103" s="32"/>
      <c r="O103" s="32" t="s">
        <v>171</v>
      </c>
      <c r="P103" s="32"/>
      <c r="Q103" s="32"/>
      <c r="R103" s="3" t="s">
        <v>124</v>
      </c>
      <c r="S103" s="3"/>
      <c r="T103" s="33">
        <f>300000</f>
        <v>300000</v>
      </c>
      <c r="U103" s="33"/>
      <c r="V103" s="33"/>
      <c r="W103" s="33">
        <f>80577.2</f>
        <v>80577.2</v>
      </c>
      <c r="X103" s="33"/>
      <c r="Y103" s="33"/>
      <c r="Z103" s="33"/>
      <c r="AA103" s="33"/>
      <c r="AB103" s="34">
        <f>219422.8</f>
        <v>219422.8</v>
      </c>
      <c r="AC103" s="34"/>
    </row>
    <row r="104" spans="1:29" s="1" customFormat="1" ht="13.5" customHeight="1">
      <c r="A104" s="31" t="s">
        <v>131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89</v>
      </c>
      <c r="M104" s="32"/>
      <c r="N104" s="32"/>
      <c r="O104" s="32" t="s">
        <v>171</v>
      </c>
      <c r="P104" s="32"/>
      <c r="Q104" s="32"/>
      <c r="R104" s="3" t="s">
        <v>132</v>
      </c>
      <c r="S104" s="3"/>
      <c r="T104" s="33">
        <f>350000</f>
        <v>350000</v>
      </c>
      <c r="U104" s="33"/>
      <c r="V104" s="33"/>
      <c r="W104" s="33">
        <f>29572.5</f>
        <v>29572.5</v>
      </c>
      <c r="X104" s="33"/>
      <c r="Y104" s="33"/>
      <c r="Z104" s="33"/>
      <c r="AA104" s="33"/>
      <c r="AB104" s="34">
        <f>320427.5</f>
        <v>320427.5</v>
      </c>
      <c r="AC104" s="34"/>
    </row>
    <row r="105" spans="1:29" s="1" customFormat="1" ht="13.5" customHeight="1">
      <c r="A105" s="31" t="s">
        <v>121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89</v>
      </c>
      <c r="M105" s="32"/>
      <c r="N105" s="32"/>
      <c r="O105" s="32" t="s">
        <v>172</v>
      </c>
      <c r="P105" s="32"/>
      <c r="Q105" s="32"/>
      <c r="R105" s="3" t="s">
        <v>122</v>
      </c>
      <c r="S105" s="3"/>
      <c r="T105" s="33">
        <f>960000</f>
        <v>960000</v>
      </c>
      <c r="U105" s="33"/>
      <c r="V105" s="33"/>
      <c r="W105" s="33">
        <f>296069.69</f>
        <v>296069.69</v>
      </c>
      <c r="X105" s="33"/>
      <c r="Y105" s="33"/>
      <c r="Z105" s="33"/>
      <c r="AA105" s="33"/>
      <c r="AB105" s="34">
        <f>663930.31</f>
        <v>663930.31</v>
      </c>
      <c r="AC105" s="34"/>
    </row>
    <row r="106" spans="1:29" s="1" customFormat="1" ht="13.5" customHeight="1">
      <c r="A106" s="31" t="s">
        <v>123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89</v>
      </c>
      <c r="M106" s="32"/>
      <c r="N106" s="32"/>
      <c r="O106" s="32" t="s">
        <v>173</v>
      </c>
      <c r="P106" s="32"/>
      <c r="Q106" s="32"/>
      <c r="R106" s="3" t="s">
        <v>124</v>
      </c>
      <c r="S106" s="3"/>
      <c r="T106" s="33">
        <f>1814270.4</f>
        <v>1814270.4</v>
      </c>
      <c r="U106" s="33"/>
      <c r="V106" s="33"/>
      <c r="W106" s="35" t="s">
        <v>49</v>
      </c>
      <c r="X106" s="35"/>
      <c r="Y106" s="35"/>
      <c r="Z106" s="35"/>
      <c r="AA106" s="35"/>
      <c r="AB106" s="34">
        <f>1814270.4</f>
        <v>1814270.4</v>
      </c>
      <c r="AC106" s="34"/>
    </row>
    <row r="107" spans="1:29" s="1" customFormat="1" ht="13.5" customHeight="1">
      <c r="A107" s="31" t="s">
        <v>149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89</v>
      </c>
      <c r="M107" s="32"/>
      <c r="N107" s="32"/>
      <c r="O107" s="32" t="s">
        <v>173</v>
      </c>
      <c r="P107" s="32"/>
      <c r="Q107" s="32"/>
      <c r="R107" s="3" t="s">
        <v>150</v>
      </c>
      <c r="S107" s="3"/>
      <c r="T107" s="33">
        <f>1000000</f>
        <v>1000000</v>
      </c>
      <c r="U107" s="33"/>
      <c r="V107" s="33"/>
      <c r="W107" s="33">
        <f>885000</f>
        <v>885000</v>
      </c>
      <c r="X107" s="33"/>
      <c r="Y107" s="33"/>
      <c r="Z107" s="33"/>
      <c r="AA107" s="33"/>
      <c r="AB107" s="34">
        <f>115000</f>
        <v>115000</v>
      </c>
      <c r="AC107" s="34"/>
    </row>
    <row r="108" spans="1:29" s="1" customFormat="1" ht="13.5" customHeight="1">
      <c r="A108" s="31" t="s">
        <v>119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89</v>
      </c>
      <c r="M108" s="32"/>
      <c r="N108" s="32"/>
      <c r="O108" s="32" t="s">
        <v>174</v>
      </c>
      <c r="P108" s="32"/>
      <c r="Q108" s="32"/>
      <c r="R108" s="3" t="s">
        <v>120</v>
      </c>
      <c r="S108" s="3"/>
      <c r="T108" s="33">
        <f>200000</f>
        <v>200000</v>
      </c>
      <c r="U108" s="33"/>
      <c r="V108" s="33"/>
      <c r="W108" s="35" t="s">
        <v>49</v>
      </c>
      <c r="X108" s="35"/>
      <c r="Y108" s="35"/>
      <c r="Z108" s="35"/>
      <c r="AA108" s="35"/>
      <c r="AB108" s="34">
        <f>200000</f>
        <v>200000</v>
      </c>
      <c r="AC108" s="34"/>
    </row>
    <row r="109" spans="1:29" s="1" customFormat="1" ht="13.5" customHeight="1">
      <c r="A109" s="31" t="s">
        <v>123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89</v>
      </c>
      <c r="M109" s="32"/>
      <c r="N109" s="32"/>
      <c r="O109" s="32" t="s">
        <v>174</v>
      </c>
      <c r="P109" s="32"/>
      <c r="Q109" s="32"/>
      <c r="R109" s="3" t="s">
        <v>124</v>
      </c>
      <c r="S109" s="3"/>
      <c r="T109" s="33">
        <f>2857442.3</f>
        <v>2857442.3</v>
      </c>
      <c r="U109" s="33"/>
      <c r="V109" s="33"/>
      <c r="W109" s="33">
        <f>1595264.32</f>
        <v>1595264.32</v>
      </c>
      <c r="X109" s="33"/>
      <c r="Y109" s="33"/>
      <c r="Z109" s="33"/>
      <c r="AA109" s="33"/>
      <c r="AB109" s="34">
        <f>1262177.98</f>
        <v>1262177.98</v>
      </c>
      <c r="AC109" s="34"/>
    </row>
    <row r="110" spans="1:29" s="1" customFormat="1" ht="13.5" customHeight="1">
      <c r="A110" s="31" t="s">
        <v>125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89</v>
      </c>
      <c r="M110" s="32"/>
      <c r="N110" s="32"/>
      <c r="O110" s="32" t="s">
        <v>174</v>
      </c>
      <c r="P110" s="32"/>
      <c r="Q110" s="32"/>
      <c r="R110" s="3" t="s">
        <v>126</v>
      </c>
      <c r="S110" s="3"/>
      <c r="T110" s="33">
        <f>875118.92</f>
        <v>875118.92</v>
      </c>
      <c r="U110" s="33"/>
      <c r="V110" s="33"/>
      <c r="W110" s="33">
        <f>37300</f>
        <v>37300</v>
      </c>
      <c r="X110" s="33"/>
      <c r="Y110" s="33"/>
      <c r="Z110" s="33"/>
      <c r="AA110" s="33"/>
      <c r="AB110" s="34">
        <f>837818.92</f>
        <v>837818.92</v>
      </c>
      <c r="AC110" s="34"/>
    </row>
    <row r="111" spans="1:29" s="1" customFormat="1" ht="13.5" customHeight="1">
      <c r="A111" s="31" t="s">
        <v>149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89</v>
      </c>
      <c r="M111" s="32"/>
      <c r="N111" s="32"/>
      <c r="O111" s="32" t="s">
        <v>174</v>
      </c>
      <c r="P111" s="32"/>
      <c r="Q111" s="32"/>
      <c r="R111" s="3" t="s">
        <v>150</v>
      </c>
      <c r="S111" s="3"/>
      <c r="T111" s="33">
        <f>350000</f>
        <v>350000</v>
      </c>
      <c r="U111" s="33"/>
      <c r="V111" s="33"/>
      <c r="W111" s="35" t="s">
        <v>49</v>
      </c>
      <c r="X111" s="35"/>
      <c r="Y111" s="35"/>
      <c r="Z111" s="35"/>
      <c r="AA111" s="35"/>
      <c r="AB111" s="34">
        <f>350000</f>
        <v>350000</v>
      </c>
      <c r="AC111" s="34"/>
    </row>
    <row r="112" spans="1:29" s="1" customFormat="1" ht="13.5" customHeight="1">
      <c r="A112" s="31" t="s">
        <v>131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89</v>
      </c>
      <c r="M112" s="32"/>
      <c r="N112" s="32"/>
      <c r="O112" s="32" t="s">
        <v>174</v>
      </c>
      <c r="P112" s="32"/>
      <c r="Q112" s="32"/>
      <c r="R112" s="3" t="s">
        <v>132</v>
      </c>
      <c r="S112" s="3"/>
      <c r="T112" s="33">
        <f>415814.95</f>
        <v>415814.95</v>
      </c>
      <c r="U112" s="33"/>
      <c r="V112" s="33"/>
      <c r="W112" s="33">
        <f>74485</f>
        <v>74485</v>
      </c>
      <c r="X112" s="33"/>
      <c r="Y112" s="33"/>
      <c r="Z112" s="33"/>
      <c r="AA112" s="33"/>
      <c r="AB112" s="34">
        <f>341329.95</f>
        <v>341329.95</v>
      </c>
      <c r="AC112" s="34"/>
    </row>
    <row r="113" spans="1:29" s="1" customFormat="1" ht="13.5" customHeight="1">
      <c r="A113" s="31" t="s">
        <v>123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89</v>
      </c>
      <c r="M113" s="32"/>
      <c r="N113" s="32"/>
      <c r="O113" s="32" t="s">
        <v>175</v>
      </c>
      <c r="P113" s="32"/>
      <c r="Q113" s="32"/>
      <c r="R113" s="3" t="s">
        <v>124</v>
      </c>
      <c r="S113" s="3"/>
      <c r="T113" s="33">
        <f>100000</f>
        <v>100000</v>
      </c>
      <c r="U113" s="33"/>
      <c r="V113" s="33"/>
      <c r="W113" s="35" t="s">
        <v>49</v>
      </c>
      <c r="X113" s="35"/>
      <c r="Y113" s="35"/>
      <c r="Z113" s="35"/>
      <c r="AA113" s="35"/>
      <c r="AB113" s="34">
        <f>100000</f>
        <v>100000</v>
      </c>
      <c r="AC113" s="34"/>
    </row>
    <row r="114" spans="1:29" s="1" customFormat="1" ht="13.5" customHeight="1">
      <c r="A114" s="31" t="s">
        <v>131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89</v>
      </c>
      <c r="M114" s="32"/>
      <c r="N114" s="32"/>
      <c r="O114" s="32" t="s">
        <v>175</v>
      </c>
      <c r="P114" s="32"/>
      <c r="Q114" s="32"/>
      <c r="R114" s="3" t="s">
        <v>132</v>
      </c>
      <c r="S114" s="3"/>
      <c r="T114" s="33">
        <f>90000</f>
        <v>90000</v>
      </c>
      <c r="U114" s="33"/>
      <c r="V114" s="33"/>
      <c r="W114" s="35" t="s">
        <v>49</v>
      </c>
      <c r="X114" s="35"/>
      <c r="Y114" s="35"/>
      <c r="Z114" s="35"/>
      <c r="AA114" s="35"/>
      <c r="AB114" s="34">
        <f>90000</f>
        <v>90000</v>
      </c>
      <c r="AC114" s="34"/>
    </row>
    <row r="115" spans="1:29" s="1" customFormat="1" ht="13.5" customHeight="1">
      <c r="A115" s="31" t="s">
        <v>125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89</v>
      </c>
      <c r="M115" s="32"/>
      <c r="N115" s="32"/>
      <c r="O115" s="32" t="s">
        <v>176</v>
      </c>
      <c r="P115" s="32"/>
      <c r="Q115" s="32"/>
      <c r="R115" s="3" t="s">
        <v>126</v>
      </c>
      <c r="S115" s="3"/>
      <c r="T115" s="33">
        <f>10559068.35</f>
        <v>10559068.35</v>
      </c>
      <c r="U115" s="33"/>
      <c r="V115" s="33"/>
      <c r="W115" s="33">
        <f>7922796</f>
        <v>7922796</v>
      </c>
      <c r="X115" s="33"/>
      <c r="Y115" s="33"/>
      <c r="Z115" s="33"/>
      <c r="AA115" s="33"/>
      <c r="AB115" s="34">
        <f>2636272.35</f>
        <v>2636272.35</v>
      </c>
      <c r="AC115" s="34"/>
    </row>
    <row r="116" spans="1:29" s="1" customFormat="1" ht="13.5" customHeight="1">
      <c r="A116" s="31" t="s">
        <v>127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89</v>
      </c>
      <c r="M116" s="32"/>
      <c r="N116" s="32"/>
      <c r="O116" s="32" t="s">
        <v>177</v>
      </c>
      <c r="P116" s="32"/>
      <c r="Q116" s="32"/>
      <c r="R116" s="3" t="s">
        <v>128</v>
      </c>
      <c r="S116" s="3"/>
      <c r="T116" s="33">
        <f>2500</f>
        <v>2500</v>
      </c>
      <c r="U116" s="33"/>
      <c r="V116" s="33"/>
      <c r="W116" s="33">
        <f>2256</f>
        <v>2256</v>
      </c>
      <c r="X116" s="33"/>
      <c r="Y116" s="33"/>
      <c r="Z116" s="33"/>
      <c r="AA116" s="33"/>
      <c r="AB116" s="34">
        <f>244</f>
        <v>244</v>
      </c>
      <c r="AC116" s="34"/>
    </row>
    <row r="117" spans="1:29" s="1" customFormat="1" ht="13.5" customHeight="1">
      <c r="A117" s="31" t="s">
        <v>133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89</v>
      </c>
      <c r="M117" s="32"/>
      <c r="N117" s="32"/>
      <c r="O117" s="32" t="s">
        <v>177</v>
      </c>
      <c r="P117" s="32"/>
      <c r="Q117" s="32"/>
      <c r="R117" s="3" t="s">
        <v>134</v>
      </c>
      <c r="S117" s="3"/>
      <c r="T117" s="33">
        <f>57500</f>
        <v>57500</v>
      </c>
      <c r="U117" s="33"/>
      <c r="V117" s="33"/>
      <c r="W117" s="35" t="s">
        <v>49</v>
      </c>
      <c r="X117" s="35"/>
      <c r="Y117" s="35"/>
      <c r="Z117" s="35"/>
      <c r="AA117" s="35"/>
      <c r="AB117" s="34">
        <f>57500</f>
        <v>57500</v>
      </c>
      <c r="AC117" s="34"/>
    </row>
    <row r="118" spans="1:29" s="1" customFormat="1" ht="13.5" customHeight="1">
      <c r="A118" s="31" t="s">
        <v>90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89</v>
      </c>
      <c r="M118" s="32"/>
      <c r="N118" s="32"/>
      <c r="O118" s="32" t="s">
        <v>178</v>
      </c>
      <c r="P118" s="32"/>
      <c r="Q118" s="32"/>
      <c r="R118" s="3" t="s">
        <v>92</v>
      </c>
      <c r="S118" s="3"/>
      <c r="T118" s="33">
        <f>30000</f>
        <v>30000</v>
      </c>
      <c r="U118" s="33"/>
      <c r="V118" s="33"/>
      <c r="W118" s="35" t="s">
        <v>49</v>
      </c>
      <c r="X118" s="35"/>
      <c r="Y118" s="35"/>
      <c r="Z118" s="35"/>
      <c r="AA118" s="35"/>
      <c r="AB118" s="34">
        <f>30000</f>
        <v>30000</v>
      </c>
      <c r="AC118" s="34"/>
    </row>
    <row r="119" spans="1:29" s="1" customFormat="1" ht="13.5" customHeight="1">
      <c r="A119" s="31" t="s">
        <v>95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89</v>
      </c>
      <c r="M119" s="32"/>
      <c r="N119" s="32"/>
      <c r="O119" s="32" t="s">
        <v>179</v>
      </c>
      <c r="P119" s="32"/>
      <c r="Q119" s="32"/>
      <c r="R119" s="3" t="s">
        <v>97</v>
      </c>
      <c r="S119" s="3"/>
      <c r="T119" s="33">
        <f>9000</f>
        <v>9000</v>
      </c>
      <c r="U119" s="33"/>
      <c r="V119" s="33"/>
      <c r="W119" s="35" t="s">
        <v>49</v>
      </c>
      <c r="X119" s="35"/>
      <c r="Y119" s="35"/>
      <c r="Z119" s="35"/>
      <c r="AA119" s="35"/>
      <c r="AB119" s="34">
        <f>9000</f>
        <v>9000</v>
      </c>
      <c r="AC119" s="34"/>
    </row>
    <row r="120" spans="1:29" s="1" customFormat="1" ht="13.5" customHeight="1">
      <c r="A120" s="31" t="s">
        <v>90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89</v>
      </c>
      <c r="M120" s="32"/>
      <c r="N120" s="32"/>
      <c r="O120" s="32" t="s">
        <v>180</v>
      </c>
      <c r="P120" s="32"/>
      <c r="Q120" s="32"/>
      <c r="R120" s="3" t="s">
        <v>92</v>
      </c>
      <c r="S120" s="3"/>
      <c r="T120" s="33">
        <f>6840000</f>
        <v>6840000</v>
      </c>
      <c r="U120" s="33"/>
      <c r="V120" s="33"/>
      <c r="W120" s="33">
        <f>1869444.1</f>
        <v>1869444.1</v>
      </c>
      <c r="X120" s="33"/>
      <c r="Y120" s="33"/>
      <c r="Z120" s="33"/>
      <c r="AA120" s="33"/>
      <c r="AB120" s="34">
        <f>4970555.9</f>
        <v>4970555.9</v>
      </c>
      <c r="AC120" s="34"/>
    </row>
    <row r="121" spans="1:29" s="1" customFormat="1" ht="13.5" customHeight="1">
      <c r="A121" s="31" t="s">
        <v>93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89</v>
      </c>
      <c r="M121" s="32"/>
      <c r="N121" s="32"/>
      <c r="O121" s="32" t="s">
        <v>180</v>
      </c>
      <c r="P121" s="32"/>
      <c r="Q121" s="32"/>
      <c r="R121" s="3" t="s">
        <v>94</v>
      </c>
      <c r="S121" s="3"/>
      <c r="T121" s="33">
        <f>30000</f>
        <v>30000</v>
      </c>
      <c r="U121" s="33"/>
      <c r="V121" s="33"/>
      <c r="W121" s="33">
        <f>14374.26</f>
        <v>14374.26</v>
      </c>
      <c r="X121" s="33"/>
      <c r="Y121" s="33"/>
      <c r="Z121" s="33"/>
      <c r="AA121" s="33"/>
      <c r="AB121" s="34">
        <f>15625.74</f>
        <v>15625.74</v>
      </c>
      <c r="AC121" s="34"/>
    </row>
    <row r="122" spans="1:29" s="1" customFormat="1" ht="13.5" customHeight="1">
      <c r="A122" s="31" t="s">
        <v>99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89</v>
      </c>
      <c r="M122" s="32"/>
      <c r="N122" s="32"/>
      <c r="O122" s="32" t="s">
        <v>181</v>
      </c>
      <c r="P122" s="32"/>
      <c r="Q122" s="32"/>
      <c r="R122" s="3" t="s">
        <v>101</v>
      </c>
      <c r="S122" s="3"/>
      <c r="T122" s="33">
        <f>40000</f>
        <v>40000</v>
      </c>
      <c r="U122" s="33"/>
      <c r="V122" s="33"/>
      <c r="W122" s="35" t="s">
        <v>49</v>
      </c>
      <c r="X122" s="35"/>
      <c r="Y122" s="35"/>
      <c r="Z122" s="35"/>
      <c r="AA122" s="35"/>
      <c r="AB122" s="34">
        <f>40000</f>
        <v>40000</v>
      </c>
      <c r="AC122" s="34"/>
    </row>
    <row r="123" spans="1:29" s="1" customFormat="1" ht="13.5" customHeight="1">
      <c r="A123" s="31" t="s">
        <v>102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89</v>
      </c>
      <c r="M123" s="32"/>
      <c r="N123" s="32"/>
      <c r="O123" s="32" t="s">
        <v>181</v>
      </c>
      <c r="P123" s="32"/>
      <c r="Q123" s="32"/>
      <c r="R123" s="3" t="s">
        <v>103</v>
      </c>
      <c r="S123" s="3"/>
      <c r="T123" s="33">
        <f>160000</f>
        <v>160000</v>
      </c>
      <c r="U123" s="33"/>
      <c r="V123" s="33"/>
      <c r="W123" s="35" t="s">
        <v>49</v>
      </c>
      <c r="X123" s="35"/>
      <c r="Y123" s="35"/>
      <c r="Z123" s="35"/>
      <c r="AA123" s="35"/>
      <c r="AB123" s="34">
        <f>160000</f>
        <v>160000</v>
      </c>
      <c r="AC123" s="34"/>
    </row>
    <row r="124" spans="1:29" s="1" customFormat="1" ht="13.5" customHeight="1">
      <c r="A124" s="31" t="s">
        <v>95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89</v>
      </c>
      <c r="M124" s="32"/>
      <c r="N124" s="32"/>
      <c r="O124" s="32" t="s">
        <v>182</v>
      </c>
      <c r="P124" s="32"/>
      <c r="Q124" s="32"/>
      <c r="R124" s="3" t="s">
        <v>97</v>
      </c>
      <c r="S124" s="3"/>
      <c r="T124" s="33">
        <f>2039784</f>
        <v>2039784</v>
      </c>
      <c r="U124" s="33"/>
      <c r="V124" s="33"/>
      <c r="W124" s="33">
        <f>372109.81</f>
        <v>372109.81</v>
      </c>
      <c r="X124" s="33"/>
      <c r="Y124" s="33"/>
      <c r="Z124" s="33"/>
      <c r="AA124" s="33"/>
      <c r="AB124" s="34">
        <f>1667674.19</f>
        <v>1667674.19</v>
      </c>
      <c r="AC124" s="34"/>
    </row>
    <row r="125" spans="1:29" s="1" customFormat="1" ht="13.5" customHeight="1">
      <c r="A125" s="31" t="s">
        <v>116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89</v>
      </c>
      <c r="M125" s="32"/>
      <c r="N125" s="32"/>
      <c r="O125" s="32" t="s">
        <v>183</v>
      </c>
      <c r="P125" s="32"/>
      <c r="Q125" s="32"/>
      <c r="R125" s="3" t="s">
        <v>118</v>
      </c>
      <c r="S125" s="3"/>
      <c r="T125" s="33">
        <f>114000</f>
        <v>114000</v>
      </c>
      <c r="U125" s="33"/>
      <c r="V125" s="33"/>
      <c r="W125" s="33">
        <f>29908.29</f>
        <v>29908.29</v>
      </c>
      <c r="X125" s="33"/>
      <c r="Y125" s="33"/>
      <c r="Z125" s="33"/>
      <c r="AA125" s="33"/>
      <c r="AB125" s="34">
        <f>84091.71</f>
        <v>84091.71</v>
      </c>
      <c r="AC125" s="34"/>
    </row>
    <row r="126" spans="1:29" s="1" customFormat="1" ht="13.5" customHeight="1">
      <c r="A126" s="31" t="s">
        <v>119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89</v>
      </c>
      <c r="M126" s="32"/>
      <c r="N126" s="32"/>
      <c r="O126" s="32" t="s">
        <v>183</v>
      </c>
      <c r="P126" s="32"/>
      <c r="Q126" s="32"/>
      <c r="R126" s="3" t="s">
        <v>120</v>
      </c>
      <c r="S126" s="3"/>
      <c r="T126" s="33">
        <f>100000</f>
        <v>100000</v>
      </c>
      <c r="U126" s="33"/>
      <c r="V126" s="33"/>
      <c r="W126" s="35" t="s">
        <v>49</v>
      </c>
      <c r="X126" s="35"/>
      <c r="Y126" s="35"/>
      <c r="Z126" s="35"/>
      <c r="AA126" s="35"/>
      <c r="AB126" s="34">
        <f>100000</f>
        <v>100000</v>
      </c>
      <c r="AC126" s="34"/>
    </row>
    <row r="127" spans="1:29" s="1" customFormat="1" ht="13.5" customHeight="1">
      <c r="A127" s="31" t="s">
        <v>121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89</v>
      </c>
      <c r="M127" s="32"/>
      <c r="N127" s="32"/>
      <c r="O127" s="32" t="s">
        <v>183</v>
      </c>
      <c r="P127" s="32"/>
      <c r="Q127" s="32"/>
      <c r="R127" s="3" t="s">
        <v>122</v>
      </c>
      <c r="S127" s="3"/>
      <c r="T127" s="33">
        <f>107435.5</f>
        <v>107435.5</v>
      </c>
      <c r="U127" s="33"/>
      <c r="V127" s="33"/>
      <c r="W127" s="33">
        <f>27054.51</f>
        <v>27054.51</v>
      </c>
      <c r="X127" s="33"/>
      <c r="Y127" s="33"/>
      <c r="Z127" s="33"/>
      <c r="AA127" s="33"/>
      <c r="AB127" s="34">
        <f>80380.99</f>
        <v>80380.99</v>
      </c>
      <c r="AC127" s="34"/>
    </row>
    <row r="128" spans="1:29" s="1" customFormat="1" ht="13.5" customHeight="1">
      <c r="A128" s="31" t="s">
        <v>123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89</v>
      </c>
      <c r="M128" s="32"/>
      <c r="N128" s="32"/>
      <c r="O128" s="32" t="s">
        <v>183</v>
      </c>
      <c r="P128" s="32"/>
      <c r="Q128" s="32"/>
      <c r="R128" s="3" t="s">
        <v>124</v>
      </c>
      <c r="S128" s="3"/>
      <c r="T128" s="33">
        <f>4119477.86</f>
        <v>4119477.86</v>
      </c>
      <c r="U128" s="33"/>
      <c r="V128" s="33"/>
      <c r="W128" s="33">
        <f>1091765.75</f>
        <v>1091765.75</v>
      </c>
      <c r="X128" s="33"/>
      <c r="Y128" s="33"/>
      <c r="Z128" s="33"/>
      <c r="AA128" s="33"/>
      <c r="AB128" s="34">
        <f>3027712.11</f>
        <v>3027712.11</v>
      </c>
      <c r="AC128" s="34"/>
    </row>
    <row r="129" spans="1:29" s="1" customFormat="1" ht="13.5" customHeight="1">
      <c r="A129" s="31" t="s">
        <v>125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89</v>
      </c>
      <c r="M129" s="32"/>
      <c r="N129" s="32"/>
      <c r="O129" s="32" t="s">
        <v>183</v>
      </c>
      <c r="P129" s="32"/>
      <c r="Q129" s="32"/>
      <c r="R129" s="3" t="s">
        <v>126</v>
      </c>
      <c r="S129" s="3"/>
      <c r="T129" s="33">
        <f>1698820.98</f>
        <v>1698820.98</v>
      </c>
      <c r="U129" s="33"/>
      <c r="V129" s="33"/>
      <c r="W129" s="33">
        <f>604555</f>
        <v>604555</v>
      </c>
      <c r="X129" s="33"/>
      <c r="Y129" s="33"/>
      <c r="Z129" s="33"/>
      <c r="AA129" s="33"/>
      <c r="AB129" s="34">
        <f>1094265.98</f>
        <v>1094265.98</v>
      </c>
      <c r="AC129" s="34"/>
    </row>
    <row r="130" spans="1:29" s="1" customFormat="1" ht="13.5" customHeight="1">
      <c r="A130" s="31" t="s">
        <v>127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89</v>
      </c>
      <c r="M130" s="32"/>
      <c r="N130" s="32"/>
      <c r="O130" s="32" t="s">
        <v>183</v>
      </c>
      <c r="P130" s="32"/>
      <c r="Q130" s="32"/>
      <c r="R130" s="3" t="s">
        <v>128</v>
      </c>
      <c r="S130" s="3"/>
      <c r="T130" s="33">
        <f>3000</f>
        <v>3000</v>
      </c>
      <c r="U130" s="33"/>
      <c r="V130" s="33"/>
      <c r="W130" s="35" t="s">
        <v>49</v>
      </c>
      <c r="X130" s="35"/>
      <c r="Y130" s="35"/>
      <c r="Z130" s="35"/>
      <c r="AA130" s="35"/>
      <c r="AB130" s="34">
        <f>3000</f>
        <v>3000</v>
      </c>
      <c r="AC130" s="34"/>
    </row>
    <row r="131" spans="1:29" s="1" customFormat="1" ht="13.5" customHeight="1">
      <c r="A131" s="31" t="s">
        <v>149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89</v>
      </c>
      <c r="M131" s="32"/>
      <c r="N131" s="32"/>
      <c r="O131" s="32" t="s">
        <v>183</v>
      </c>
      <c r="P131" s="32"/>
      <c r="Q131" s="32"/>
      <c r="R131" s="3" t="s">
        <v>150</v>
      </c>
      <c r="S131" s="3"/>
      <c r="T131" s="33">
        <f>263600</f>
        <v>263600</v>
      </c>
      <c r="U131" s="33"/>
      <c r="V131" s="33"/>
      <c r="W131" s="33">
        <f>263600</f>
        <v>263600</v>
      </c>
      <c r="X131" s="33"/>
      <c r="Y131" s="33"/>
      <c r="Z131" s="33"/>
      <c r="AA131" s="33"/>
      <c r="AB131" s="34">
        <f>0</f>
        <v>0</v>
      </c>
      <c r="AC131" s="34"/>
    </row>
    <row r="132" spans="1:29" s="1" customFormat="1" ht="13.5" customHeight="1">
      <c r="A132" s="31" t="s">
        <v>184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89</v>
      </c>
      <c r="M132" s="32"/>
      <c r="N132" s="32"/>
      <c r="O132" s="32" t="s">
        <v>183</v>
      </c>
      <c r="P132" s="32"/>
      <c r="Q132" s="32"/>
      <c r="R132" s="3" t="s">
        <v>185</v>
      </c>
      <c r="S132" s="3"/>
      <c r="T132" s="33">
        <f>27130</f>
        <v>27130</v>
      </c>
      <c r="U132" s="33"/>
      <c r="V132" s="33"/>
      <c r="W132" s="33">
        <f>24326</f>
        <v>24326</v>
      </c>
      <c r="X132" s="33"/>
      <c r="Y132" s="33"/>
      <c r="Z132" s="33"/>
      <c r="AA132" s="33"/>
      <c r="AB132" s="34">
        <f>2804</f>
        <v>2804</v>
      </c>
      <c r="AC132" s="34"/>
    </row>
    <row r="133" spans="1:29" s="1" customFormat="1" ht="13.5" customHeight="1">
      <c r="A133" s="31" t="s">
        <v>131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89</v>
      </c>
      <c r="M133" s="32"/>
      <c r="N133" s="32"/>
      <c r="O133" s="32" t="s">
        <v>183</v>
      </c>
      <c r="P133" s="32"/>
      <c r="Q133" s="32"/>
      <c r="R133" s="3" t="s">
        <v>132</v>
      </c>
      <c r="S133" s="3"/>
      <c r="T133" s="33">
        <f>104026.29</f>
        <v>104026.29</v>
      </c>
      <c r="U133" s="33"/>
      <c r="V133" s="33"/>
      <c r="W133" s="33">
        <f>14388</f>
        <v>14388</v>
      </c>
      <c r="X133" s="33"/>
      <c r="Y133" s="33"/>
      <c r="Z133" s="33"/>
      <c r="AA133" s="33"/>
      <c r="AB133" s="34">
        <f>89638.29</f>
        <v>89638.29</v>
      </c>
      <c r="AC133" s="34"/>
    </row>
    <row r="134" spans="1:29" s="1" customFormat="1" ht="13.5" customHeight="1">
      <c r="A134" s="31" t="s">
        <v>133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89</v>
      </c>
      <c r="M134" s="32"/>
      <c r="N134" s="32"/>
      <c r="O134" s="32" t="s">
        <v>183</v>
      </c>
      <c r="P134" s="32"/>
      <c r="Q134" s="32"/>
      <c r="R134" s="3" t="s">
        <v>134</v>
      </c>
      <c r="S134" s="3"/>
      <c r="T134" s="33">
        <f>173000</f>
        <v>173000</v>
      </c>
      <c r="U134" s="33"/>
      <c r="V134" s="33"/>
      <c r="W134" s="33">
        <f>147718.28</f>
        <v>147718.28</v>
      </c>
      <c r="X134" s="33"/>
      <c r="Y134" s="33"/>
      <c r="Z134" s="33"/>
      <c r="AA134" s="33"/>
      <c r="AB134" s="34">
        <f>25281.72</f>
        <v>25281.72</v>
      </c>
      <c r="AC134" s="34"/>
    </row>
    <row r="135" spans="1:29" s="1" customFormat="1" ht="13.5" customHeight="1">
      <c r="A135" s="31" t="s">
        <v>121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89</v>
      </c>
      <c r="M135" s="32"/>
      <c r="N135" s="32"/>
      <c r="O135" s="32" t="s">
        <v>186</v>
      </c>
      <c r="P135" s="32"/>
      <c r="Q135" s="32"/>
      <c r="R135" s="3" t="s">
        <v>122</v>
      </c>
      <c r="S135" s="3"/>
      <c r="T135" s="33">
        <f>2256710.77</f>
        <v>2256710.77</v>
      </c>
      <c r="U135" s="33"/>
      <c r="V135" s="33"/>
      <c r="W135" s="33">
        <f>1260610.86</f>
        <v>1260610.86</v>
      </c>
      <c r="X135" s="33"/>
      <c r="Y135" s="33"/>
      <c r="Z135" s="33"/>
      <c r="AA135" s="33"/>
      <c r="AB135" s="34">
        <f>996099.91</f>
        <v>996099.91</v>
      </c>
      <c r="AC135" s="34"/>
    </row>
    <row r="136" spans="1:29" s="1" customFormat="1" ht="13.5" customHeight="1">
      <c r="A136" s="31" t="s">
        <v>135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89</v>
      </c>
      <c r="M136" s="32"/>
      <c r="N136" s="32"/>
      <c r="O136" s="32" t="s">
        <v>187</v>
      </c>
      <c r="P136" s="32"/>
      <c r="Q136" s="32"/>
      <c r="R136" s="3" t="s">
        <v>137</v>
      </c>
      <c r="S136" s="3"/>
      <c r="T136" s="33">
        <f>1100000</f>
        <v>1100000</v>
      </c>
      <c r="U136" s="33"/>
      <c r="V136" s="33"/>
      <c r="W136" s="33">
        <f>211273</f>
        <v>211273</v>
      </c>
      <c r="X136" s="33"/>
      <c r="Y136" s="33"/>
      <c r="Z136" s="33"/>
      <c r="AA136" s="33"/>
      <c r="AB136" s="34">
        <f>888727</f>
        <v>888727</v>
      </c>
      <c r="AC136" s="34"/>
    </row>
    <row r="137" spans="1:29" s="1" customFormat="1" ht="13.5" customHeight="1">
      <c r="A137" s="31" t="s">
        <v>123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89</v>
      </c>
      <c r="M137" s="32"/>
      <c r="N137" s="32"/>
      <c r="O137" s="32" t="s">
        <v>188</v>
      </c>
      <c r="P137" s="32"/>
      <c r="Q137" s="32"/>
      <c r="R137" s="3" t="s">
        <v>124</v>
      </c>
      <c r="S137" s="3"/>
      <c r="T137" s="33">
        <f>500000</f>
        <v>500000</v>
      </c>
      <c r="U137" s="33"/>
      <c r="V137" s="33"/>
      <c r="W137" s="33">
        <f>500000</f>
        <v>500000</v>
      </c>
      <c r="X137" s="33"/>
      <c r="Y137" s="33"/>
      <c r="Z137" s="33"/>
      <c r="AA137" s="33"/>
      <c r="AB137" s="34">
        <f>0</f>
        <v>0</v>
      </c>
      <c r="AC137" s="34"/>
    </row>
    <row r="138" spans="1:29" s="1" customFormat="1" ht="24" customHeight="1">
      <c r="A138" s="31" t="s">
        <v>189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89</v>
      </c>
      <c r="M138" s="32"/>
      <c r="N138" s="32"/>
      <c r="O138" s="32" t="s">
        <v>190</v>
      </c>
      <c r="P138" s="32"/>
      <c r="Q138" s="32"/>
      <c r="R138" s="3" t="s">
        <v>191</v>
      </c>
      <c r="S138" s="3"/>
      <c r="T138" s="33">
        <f>918902.09</f>
        <v>918902.09</v>
      </c>
      <c r="U138" s="33"/>
      <c r="V138" s="33"/>
      <c r="W138" s="33">
        <f>918902.09</f>
        <v>918902.09</v>
      </c>
      <c r="X138" s="33"/>
      <c r="Y138" s="33"/>
      <c r="Z138" s="33"/>
      <c r="AA138" s="33"/>
      <c r="AB138" s="34">
        <f>0</f>
        <v>0</v>
      </c>
      <c r="AC138" s="34"/>
    </row>
    <row r="139" spans="1:29" s="1" customFormat="1" ht="13.5" customHeight="1">
      <c r="A139" s="31" t="s">
        <v>90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89</v>
      </c>
      <c r="M139" s="32"/>
      <c r="N139" s="32"/>
      <c r="O139" s="32" t="s">
        <v>192</v>
      </c>
      <c r="P139" s="32"/>
      <c r="Q139" s="32"/>
      <c r="R139" s="3" t="s">
        <v>92</v>
      </c>
      <c r="S139" s="3"/>
      <c r="T139" s="33">
        <f>2603000</f>
        <v>2603000</v>
      </c>
      <c r="U139" s="33"/>
      <c r="V139" s="33"/>
      <c r="W139" s="33">
        <f>1414601.72</f>
        <v>1414601.72</v>
      </c>
      <c r="X139" s="33"/>
      <c r="Y139" s="33"/>
      <c r="Z139" s="33"/>
      <c r="AA139" s="33"/>
      <c r="AB139" s="34">
        <f>1188398.28</f>
        <v>1188398.28</v>
      </c>
      <c r="AC139" s="34"/>
    </row>
    <row r="140" spans="1:29" s="1" customFormat="1" ht="13.5" customHeight="1">
      <c r="A140" s="31" t="s">
        <v>95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89</v>
      </c>
      <c r="M140" s="32"/>
      <c r="N140" s="32"/>
      <c r="O140" s="32" t="s">
        <v>193</v>
      </c>
      <c r="P140" s="32"/>
      <c r="Q140" s="32"/>
      <c r="R140" s="3" t="s">
        <v>97</v>
      </c>
      <c r="S140" s="3"/>
      <c r="T140" s="33">
        <f>786000</f>
        <v>786000</v>
      </c>
      <c r="U140" s="33"/>
      <c r="V140" s="33"/>
      <c r="W140" s="33">
        <f>451575.1</f>
        <v>451575.1</v>
      </c>
      <c r="X140" s="33"/>
      <c r="Y140" s="33"/>
      <c r="Z140" s="33"/>
      <c r="AA140" s="33"/>
      <c r="AB140" s="34">
        <f>334424.9</f>
        <v>334424.9</v>
      </c>
      <c r="AC140" s="34"/>
    </row>
    <row r="141" spans="1:29" s="1" customFormat="1" ht="24" customHeight="1">
      <c r="A141" s="31" t="s">
        <v>110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89</v>
      </c>
      <c r="M141" s="32"/>
      <c r="N141" s="32"/>
      <c r="O141" s="32" t="s">
        <v>194</v>
      </c>
      <c r="P141" s="32"/>
      <c r="Q141" s="32"/>
      <c r="R141" s="3" t="s">
        <v>112</v>
      </c>
      <c r="S141" s="3"/>
      <c r="T141" s="33">
        <f>625840.8</f>
        <v>625840.8</v>
      </c>
      <c r="U141" s="33"/>
      <c r="V141" s="33"/>
      <c r="W141" s="33">
        <f>469380.6</f>
        <v>469380.6</v>
      </c>
      <c r="X141" s="33"/>
      <c r="Y141" s="33"/>
      <c r="Z141" s="33"/>
      <c r="AA141" s="33"/>
      <c r="AB141" s="34">
        <f>156460.2</f>
        <v>156460.2</v>
      </c>
      <c r="AC141" s="34"/>
    </row>
    <row r="142" spans="1:29" s="1" customFormat="1" ht="24" customHeight="1">
      <c r="A142" s="31" t="s">
        <v>195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89</v>
      </c>
      <c r="M142" s="32"/>
      <c r="N142" s="32"/>
      <c r="O142" s="32" t="s">
        <v>196</v>
      </c>
      <c r="P142" s="32"/>
      <c r="Q142" s="32"/>
      <c r="R142" s="3" t="s">
        <v>197</v>
      </c>
      <c r="S142" s="3"/>
      <c r="T142" s="33">
        <f>120000</f>
        <v>120000</v>
      </c>
      <c r="U142" s="33"/>
      <c r="V142" s="33"/>
      <c r="W142" s="33">
        <f>60000</f>
        <v>60000</v>
      </c>
      <c r="X142" s="33"/>
      <c r="Y142" s="33"/>
      <c r="Z142" s="33"/>
      <c r="AA142" s="33"/>
      <c r="AB142" s="34">
        <f>60000</f>
        <v>60000</v>
      </c>
      <c r="AC142" s="34"/>
    </row>
    <row r="143" spans="1:29" s="1" customFormat="1" ht="13.5" customHeight="1">
      <c r="A143" s="31" t="s">
        <v>90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89</v>
      </c>
      <c r="M143" s="32"/>
      <c r="N143" s="32"/>
      <c r="O143" s="32" t="s">
        <v>198</v>
      </c>
      <c r="P143" s="32"/>
      <c r="Q143" s="32"/>
      <c r="R143" s="3" t="s">
        <v>92</v>
      </c>
      <c r="S143" s="3"/>
      <c r="T143" s="33">
        <f>878185.19</f>
        <v>878185.19</v>
      </c>
      <c r="U143" s="33"/>
      <c r="V143" s="33"/>
      <c r="W143" s="33">
        <f>303712.32</f>
        <v>303712.32</v>
      </c>
      <c r="X143" s="33"/>
      <c r="Y143" s="33"/>
      <c r="Z143" s="33"/>
      <c r="AA143" s="33"/>
      <c r="AB143" s="34">
        <f>574472.87</f>
        <v>574472.87</v>
      </c>
      <c r="AC143" s="34"/>
    </row>
    <row r="144" spans="1:29" s="1" customFormat="1" ht="13.5" customHeight="1">
      <c r="A144" s="31" t="s">
        <v>99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89</v>
      </c>
      <c r="M144" s="32"/>
      <c r="N144" s="32"/>
      <c r="O144" s="32" t="s">
        <v>199</v>
      </c>
      <c r="P144" s="32"/>
      <c r="Q144" s="32"/>
      <c r="R144" s="3" t="s">
        <v>101</v>
      </c>
      <c r="S144" s="3"/>
      <c r="T144" s="33">
        <f>4000</f>
        <v>4000</v>
      </c>
      <c r="U144" s="33"/>
      <c r="V144" s="33"/>
      <c r="W144" s="35" t="s">
        <v>49</v>
      </c>
      <c r="X144" s="35"/>
      <c r="Y144" s="35"/>
      <c r="Z144" s="35"/>
      <c r="AA144" s="35"/>
      <c r="AB144" s="34">
        <f>4000</f>
        <v>4000</v>
      </c>
      <c r="AC144" s="34"/>
    </row>
    <row r="145" spans="1:29" s="1" customFormat="1" ht="13.5" customHeight="1">
      <c r="A145" s="31" t="s">
        <v>102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89</v>
      </c>
      <c r="M145" s="32"/>
      <c r="N145" s="32"/>
      <c r="O145" s="32" t="s">
        <v>199</v>
      </c>
      <c r="P145" s="32"/>
      <c r="Q145" s="32"/>
      <c r="R145" s="3" t="s">
        <v>103</v>
      </c>
      <c r="S145" s="3"/>
      <c r="T145" s="33">
        <f>50000</f>
        <v>50000</v>
      </c>
      <c r="U145" s="33"/>
      <c r="V145" s="33"/>
      <c r="W145" s="35" t="s">
        <v>49</v>
      </c>
      <c r="X145" s="35"/>
      <c r="Y145" s="35"/>
      <c r="Z145" s="35"/>
      <c r="AA145" s="35"/>
      <c r="AB145" s="34">
        <f>50000</f>
        <v>50000</v>
      </c>
      <c r="AC145" s="34"/>
    </row>
    <row r="146" spans="1:29" s="1" customFormat="1" ht="13.5" customHeight="1">
      <c r="A146" s="31" t="s">
        <v>95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89</v>
      </c>
      <c r="M146" s="32"/>
      <c r="N146" s="32"/>
      <c r="O146" s="32" t="s">
        <v>200</v>
      </c>
      <c r="P146" s="32"/>
      <c r="Q146" s="32"/>
      <c r="R146" s="3" t="s">
        <v>97</v>
      </c>
      <c r="S146" s="3"/>
      <c r="T146" s="33">
        <f>241000</f>
        <v>241000</v>
      </c>
      <c r="U146" s="33"/>
      <c r="V146" s="33"/>
      <c r="W146" s="33">
        <f>84940.81</f>
        <v>84940.81</v>
      </c>
      <c r="X146" s="33"/>
      <c r="Y146" s="33"/>
      <c r="Z146" s="33"/>
      <c r="AA146" s="33"/>
      <c r="AB146" s="34">
        <f>156059.19</f>
        <v>156059.19</v>
      </c>
      <c r="AC146" s="34"/>
    </row>
    <row r="147" spans="1:29" s="1" customFormat="1" ht="13.5" customHeight="1">
      <c r="A147" s="31" t="s">
        <v>119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89</v>
      </c>
      <c r="M147" s="32"/>
      <c r="N147" s="32"/>
      <c r="O147" s="32" t="s">
        <v>201</v>
      </c>
      <c r="P147" s="32"/>
      <c r="Q147" s="32"/>
      <c r="R147" s="3" t="s">
        <v>120</v>
      </c>
      <c r="S147" s="3"/>
      <c r="T147" s="33">
        <f>50000</f>
        <v>50000</v>
      </c>
      <c r="U147" s="33"/>
      <c r="V147" s="33"/>
      <c r="W147" s="35" t="s">
        <v>49</v>
      </c>
      <c r="X147" s="35"/>
      <c r="Y147" s="35"/>
      <c r="Z147" s="35"/>
      <c r="AA147" s="35"/>
      <c r="AB147" s="34">
        <f>50000</f>
        <v>50000</v>
      </c>
      <c r="AC147" s="34"/>
    </row>
    <row r="148" spans="1:29" s="1" customFormat="1" ht="13.5" customHeight="1">
      <c r="A148" s="31" t="s">
        <v>125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89</v>
      </c>
      <c r="M148" s="32"/>
      <c r="N148" s="32"/>
      <c r="O148" s="32" t="s">
        <v>201</v>
      </c>
      <c r="P148" s="32"/>
      <c r="Q148" s="32"/>
      <c r="R148" s="3" t="s">
        <v>126</v>
      </c>
      <c r="S148" s="3"/>
      <c r="T148" s="33">
        <f>41000</f>
        <v>41000</v>
      </c>
      <c r="U148" s="33"/>
      <c r="V148" s="33"/>
      <c r="W148" s="35" t="s">
        <v>49</v>
      </c>
      <c r="X148" s="35"/>
      <c r="Y148" s="35"/>
      <c r="Z148" s="35"/>
      <c r="AA148" s="35"/>
      <c r="AB148" s="34">
        <f>41000</f>
        <v>41000</v>
      </c>
      <c r="AC148" s="34"/>
    </row>
    <row r="149" spans="1:29" s="1" customFormat="1" ht="13.5" customHeight="1">
      <c r="A149" s="31" t="s">
        <v>131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89</v>
      </c>
      <c r="M149" s="32"/>
      <c r="N149" s="32"/>
      <c r="O149" s="32" t="s">
        <v>201</v>
      </c>
      <c r="P149" s="32"/>
      <c r="Q149" s="32"/>
      <c r="R149" s="3" t="s">
        <v>132</v>
      </c>
      <c r="S149" s="3"/>
      <c r="T149" s="33">
        <f>185425.54</f>
        <v>185425.54</v>
      </c>
      <c r="U149" s="33"/>
      <c r="V149" s="33"/>
      <c r="W149" s="35" t="s">
        <v>49</v>
      </c>
      <c r="X149" s="35"/>
      <c r="Y149" s="35"/>
      <c r="Z149" s="35"/>
      <c r="AA149" s="35"/>
      <c r="AB149" s="34">
        <f>185425.54</f>
        <v>185425.54</v>
      </c>
      <c r="AC149" s="34"/>
    </row>
    <row r="150" spans="1:29" s="1" customFormat="1" ht="13.5" customHeight="1">
      <c r="A150" s="31" t="s">
        <v>133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89</v>
      </c>
      <c r="M150" s="32"/>
      <c r="N150" s="32"/>
      <c r="O150" s="32" t="s">
        <v>201</v>
      </c>
      <c r="P150" s="32"/>
      <c r="Q150" s="32"/>
      <c r="R150" s="3" t="s">
        <v>134</v>
      </c>
      <c r="S150" s="3"/>
      <c r="T150" s="33">
        <f>30000</f>
        <v>30000</v>
      </c>
      <c r="U150" s="33"/>
      <c r="V150" s="33"/>
      <c r="W150" s="35" t="s">
        <v>49</v>
      </c>
      <c r="X150" s="35"/>
      <c r="Y150" s="35"/>
      <c r="Z150" s="35"/>
      <c r="AA150" s="35"/>
      <c r="AB150" s="34">
        <f>30000</f>
        <v>30000</v>
      </c>
      <c r="AC150" s="34"/>
    </row>
    <row r="151" spans="1:29" s="1" customFormat="1" ht="15" customHeight="1">
      <c r="A151" s="36" t="s">
        <v>202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 t="s">
        <v>203</v>
      </c>
      <c r="M151" s="37"/>
      <c r="N151" s="37"/>
      <c r="O151" s="37" t="s">
        <v>36</v>
      </c>
      <c r="P151" s="37"/>
      <c r="Q151" s="37"/>
      <c r="R151" s="38" t="s">
        <v>36</v>
      </c>
      <c r="S151" s="38"/>
      <c r="T151" s="39">
        <f>-20500857.08</f>
        <v>-20500857.08</v>
      </c>
      <c r="U151" s="39"/>
      <c r="V151" s="39"/>
      <c r="W151" s="39">
        <f>2143913.65</f>
        <v>2143913.65</v>
      </c>
      <c r="X151" s="39"/>
      <c r="Y151" s="39"/>
      <c r="Z151" s="39"/>
      <c r="AA151" s="39"/>
      <c r="AB151" s="40" t="s">
        <v>36</v>
      </c>
      <c r="AC151" s="40"/>
    </row>
    <row r="152" spans="1:29" s="1" customFormat="1" ht="13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s="1" customFormat="1" ht="13.5" customHeight="1">
      <c r="A153" s="12" t="s">
        <v>204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s="1" customFormat="1" ht="45.75" customHeight="1">
      <c r="A154" s="13" t="s">
        <v>22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 t="s">
        <v>23</v>
      </c>
      <c r="N154" s="13"/>
      <c r="O154" s="13"/>
      <c r="P154" s="13" t="s">
        <v>205</v>
      </c>
      <c r="Q154" s="13"/>
      <c r="R154" s="13"/>
      <c r="S154" s="14" t="s">
        <v>25</v>
      </c>
      <c r="T154" s="14"/>
      <c r="U154" s="14"/>
      <c r="V154" s="14" t="s">
        <v>26</v>
      </c>
      <c r="W154" s="14"/>
      <c r="X154" s="14"/>
      <c r="Y154" s="14"/>
      <c r="Z154" s="14"/>
      <c r="AA154" s="15" t="s">
        <v>27</v>
      </c>
      <c r="AB154" s="15"/>
      <c r="AC154" s="15"/>
    </row>
    <row r="155" spans="1:29" s="1" customFormat="1" ht="12.75" customHeight="1">
      <c r="A155" s="16" t="s">
        <v>28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 t="s">
        <v>29</v>
      </c>
      <c r="N155" s="16"/>
      <c r="O155" s="16"/>
      <c r="P155" s="16" t="s">
        <v>30</v>
      </c>
      <c r="Q155" s="16"/>
      <c r="R155" s="16"/>
      <c r="S155" s="17" t="s">
        <v>31</v>
      </c>
      <c r="T155" s="17"/>
      <c r="U155" s="17"/>
      <c r="V155" s="17" t="s">
        <v>32</v>
      </c>
      <c r="W155" s="17"/>
      <c r="X155" s="17"/>
      <c r="Y155" s="17"/>
      <c r="Z155" s="17"/>
      <c r="AA155" s="18" t="s">
        <v>33</v>
      </c>
      <c r="AB155" s="18"/>
      <c r="AC155" s="18"/>
    </row>
    <row r="156" spans="1:29" s="1" customFormat="1" ht="13.5" customHeight="1">
      <c r="A156" s="19" t="s">
        <v>206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 t="s">
        <v>207</v>
      </c>
      <c r="N156" s="20"/>
      <c r="O156" s="20"/>
      <c r="P156" s="20" t="s">
        <v>36</v>
      </c>
      <c r="Q156" s="20"/>
      <c r="R156" s="20"/>
      <c r="S156" s="41">
        <f>20500857.08</f>
        <v>20500857.08</v>
      </c>
      <c r="T156" s="41"/>
      <c r="U156" s="41"/>
      <c r="V156" s="21">
        <f>-2143913.65</f>
        <v>-2143913.65</v>
      </c>
      <c r="W156" s="21"/>
      <c r="X156" s="21"/>
      <c r="Y156" s="21"/>
      <c r="Z156" s="21"/>
      <c r="AA156" s="42" t="s">
        <v>36</v>
      </c>
      <c r="AB156" s="42"/>
      <c r="AC156" s="42"/>
    </row>
    <row r="157" spans="1:29" s="1" customFormat="1" ht="13.5" customHeight="1">
      <c r="A157" s="43" t="s">
        <v>208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4"/>
      <c r="N157" s="44"/>
      <c r="O157" s="44"/>
      <c r="P157" s="44"/>
      <c r="Q157" s="44"/>
      <c r="R157" s="44"/>
      <c r="S157" s="45"/>
      <c r="T157" s="45"/>
      <c r="U157" s="45"/>
      <c r="V157" s="46"/>
      <c r="W157" s="46"/>
      <c r="X157" s="46"/>
      <c r="Y157" s="46"/>
      <c r="Z157" s="46"/>
      <c r="AA157" s="47"/>
      <c r="AB157" s="47"/>
      <c r="AC157" s="47"/>
    </row>
    <row r="158" spans="1:29" s="1" customFormat="1" ht="13.5" customHeight="1">
      <c r="A158" s="23" t="s">
        <v>209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8" t="s">
        <v>210</v>
      </c>
      <c r="N158" s="48"/>
      <c r="O158" s="48"/>
      <c r="P158" s="24" t="s">
        <v>36</v>
      </c>
      <c r="Q158" s="24"/>
      <c r="R158" s="24"/>
      <c r="S158" s="49" t="s">
        <v>49</v>
      </c>
      <c r="T158" s="49"/>
      <c r="U158" s="49"/>
      <c r="V158" s="27" t="s">
        <v>49</v>
      </c>
      <c r="W158" s="27"/>
      <c r="X158" s="27"/>
      <c r="Y158" s="27"/>
      <c r="Z158" s="27"/>
      <c r="AA158" s="50" t="s">
        <v>49</v>
      </c>
      <c r="AB158" s="50"/>
      <c r="AC158" s="50"/>
    </row>
    <row r="159" spans="1:29" s="1" customFormat="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s="1" customFormat="1" ht="13.5" customHeight="1">
      <c r="A160" s="31" t="s">
        <v>211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44" t="s">
        <v>212</v>
      </c>
      <c r="N160" s="44"/>
      <c r="O160" s="44"/>
      <c r="P160" s="44" t="s">
        <v>36</v>
      </c>
      <c r="Q160" s="44"/>
      <c r="R160" s="44"/>
      <c r="S160" s="45" t="s">
        <v>49</v>
      </c>
      <c r="T160" s="45"/>
      <c r="U160" s="45"/>
      <c r="V160" s="35" t="s">
        <v>49</v>
      </c>
      <c r="W160" s="35"/>
      <c r="X160" s="35"/>
      <c r="Y160" s="35"/>
      <c r="Z160" s="35"/>
      <c r="AA160" s="47" t="s">
        <v>49</v>
      </c>
      <c r="AB160" s="47"/>
      <c r="AC160" s="47"/>
    </row>
    <row r="161" spans="1:29" s="1" customFormat="1" ht="13.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2" t="s">
        <v>212</v>
      </c>
      <c r="N161" s="32"/>
      <c r="O161" s="32"/>
      <c r="P161" s="32"/>
      <c r="Q161" s="32"/>
      <c r="R161" s="32"/>
      <c r="S161" s="51" t="s">
        <v>49</v>
      </c>
      <c r="T161" s="51"/>
      <c r="U161" s="51"/>
      <c r="V161" s="35" t="s">
        <v>49</v>
      </c>
      <c r="W161" s="35"/>
      <c r="X161" s="35"/>
      <c r="Y161" s="35"/>
      <c r="Z161" s="35"/>
      <c r="AA161" s="52" t="s">
        <v>49</v>
      </c>
      <c r="AB161" s="52"/>
      <c r="AC161" s="52"/>
    </row>
    <row r="162" spans="1:29" s="1" customFormat="1" ht="13.5" customHeight="1">
      <c r="A162" s="31" t="s">
        <v>213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2" t="s">
        <v>214</v>
      </c>
      <c r="N162" s="32"/>
      <c r="O162" s="32"/>
      <c r="P162" s="32" t="s">
        <v>215</v>
      </c>
      <c r="Q162" s="32"/>
      <c r="R162" s="32"/>
      <c r="S162" s="53">
        <f>20500857.08</f>
        <v>20500857.08</v>
      </c>
      <c r="T162" s="53"/>
      <c r="U162" s="53"/>
      <c r="V162" s="33">
        <f>-2143913.65</f>
        <v>-2143913.65</v>
      </c>
      <c r="W162" s="33"/>
      <c r="X162" s="33"/>
      <c r="Y162" s="33"/>
      <c r="Z162" s="33"/>
      <c r="AA162" s="54">
        <f>22644770.73</f>
        <v>22644770.73</v>
      </c>
      <c r="AB162" s="54"/>
      <c r="AC162" s="54"/>
    </row>
    <row r="163" spans="1:29" s="1" customFormat="1" ht="13.5" customHeight="1">
      <c r="A163" s="31" t="s">
        <v>216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2" t="s">
        <v>217</v>
      </c>
      <c r="N163" s="32"/>
      <c r="O163" s="32"/>
      <c r="P163" s="32" t="s">
        <v>218</v>
      </c>
      <c r="Q163" s="32"/>
      <c r="R163" s="32"/>
      <c r="S163" s="53">
        <f>-72373900.09</f>
        <v>-72373900.09</v>
      </c>
      <c r="T163" s="53"/>
      <c r="U163" s="53"/>
      <c r="V163" s="33">
        <f>-34711995.08</f>
        <v>-34711995.08</v>
      </c>
      <c r="W163" s="33"/>
      <c r="X163" s="33"/>
      <c r="Y163" s="33"/>
      <c r="Z163" s="33"/>
      <c r="AA163" s="55" t="s">
        <v>36</v>
      </c>
      <c r="AB163" s="55"/>
      <c r="AC163" s="55"/>
    </row>
    <row r="164" spans="1:29" s="1" customFormat="1" ht="13.5" customHeight="1">
      <c r="A164" s="31" t="s">
        <v>219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2" t="s">
        <v>220</v>
      </c>
      <c r="N164" s="32"/>
      <c r="O164" s="32"/>
      <c r="P164" s="32" t="s">
        <v>221</v>
      </c>
      <c r="Q164" s="32"/>
      <c r="R164" s="32"/>
      <c r="S164" s="53">
        <f>92874757.17</f>
        <v>92874757.17</v>
      </c>
      <c r="T164" s="53"/>
      <c r="U164" s="53"/>
      <c r="V164" s="33">
        <f>32568081.43</f>
        <v>32568081.43</v>
      </c>
      <c r="W164" s="33"/>
      <c r="X164" s="33"/>
      <c r="Y164" s="33"/>
      <c r="Z164" s="33"/>
      <c r="AA164" s="55" t="s">
        <v>36</v>
      </c>
      <c r="AB164" s="55"/>
      <c r="AC164" s="55"/>
    </row>
    <row r="165" spans="1:29" s="1" customFormat="1" ht="13.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</row>
    <row r="166" spans="1:29" s="1" customFormat="1" ht="13.5" customHeight="1">
      <c r="A166" s="7" t="s">
        <v>222</v>
      </c>
      <c r="B166" s="7"/>
      <c r="C166" s="7"/>
      <c r="D166" s="7"/>
      <c r="E166" s="7"/>
      <c r="F166" s="7"/>
      <c r="G166" s="7"/>
      <c r="H166" s="7"/>
      <c r="I166" s="57"/>
      <c r="J166" s="57"/>
      <c r="K166" s="57"/>
      <c r="L166" s="57"/>
      <c r="M166" s="57"/>
      <c r="N166" s="57"/>
      <c r="O166" s="57"/>
      <c r="P166" s="57" t="s">
        <v>223</v>
      </c>
      <c r="Q166" s="57"/>
      <c r="R166" s="57"/>
      <c r="S166" s="57"/>
      <c r="T166" s="5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13.5" customHeight="1">
      <c r="A167" s="7"/>
      <c r="B167" s="7"/>
      <c r="C167" s="7"/>
      <c r="D167" s="7"/>
      <c r="E167" s="7"/>
      <c r="F167" s="7"/>
      <c r="G167" s="7"/>
      <c r="H167" s="7"/>
      <c r="I167" s="10"/>
      <c r="J167" s="58" t="s">
        <v>224</v>
      </c>
      <c r="K167" s="58"/>
      <c r="L167" s="58"/>
      <c r="M167" s="58"/>
      <c r="N167" s="7"/>
      <c r="O167" s="7"/>
      <c r="P167" s="10"/>
      <c r="Q167" s="58" t="s">
        <v>225</v>
      </c>
      <c r="R167" s="58"/>
      <c r="S167" s="58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7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226</v>
      </c>
      <c r="B169" s="7"/>
      <c r="C169" s="7"/>
      <c r="D169" s="7"/>
      <c r="E169" s="7"/>
      <c r="F169" s="7"/>
      <c r="G169" s="7"/>
      <c r="H169" s="7"/>
      <c r="I169" s="57"/>
      <c r="J169" s="57"/>
      <c r="K169" s="57"/>
      <c r="L169" s="57"/>
      <c r="M169" s="57"/>
      <c r="N169" s="57"/>
      <c r="O169" s="57"/>
      <c r="P169" s="57" t="s">
        <v>227</v>
      </c>
      <c r="Q169" s="57"/>
      <c r="R169" s="57"/>
      <c r="S169" s="57"/>
      <c r="T169" s="5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13.5" customHeight="1">
      <c r="A170" s="7"/>
      <c r="B170" s="7"/>
      <c r="C170" s="7"/>
      <c r="D170" s="7"/>
      <c r="E170" s="7"/>
      <c r="F170" s="7"/>
      <c r="G170" s="7"/>
      <c r="H170" s="7"/>
      <c r="I170" s="10"/>
      <c r="J170" s="58" t="s">
        <v>224</v>
      </c>
      <c r="K170" s="58"/>
      <c r="L170" s="58"/>
      <c r="M170" s="58"/>
      <c r="N170" s="7"/>
      <c r="O170" s="7"/>
      <c r="P170" s="10"/>
      <c r="Q170" s="58" t="s">
        <v>225</v>
      </c>
      <c r="R170" s="58"/>
      <c r="S170" s="58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7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7" t="s">
        <v>228</v>
      </c>
      <c r="B172" s="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s="1" customFormat="1" ht="13.5" customHeight="1">
      <c r="A173" s="7"/>
      <c r="B173" s="7"/>
      <c r="C173" s="10"/>
      <c r="D173" s="58" t="s">
        <v>229</v>
      </c>
      <c r="E173" s="58"/>
      <c r="F173" s="58"/>
      <c r="G173" s="58"/>
      <c r="H173" s="10"/>
      <c r="I173" s="10"/>
      <c r="J173" s="58" t="s">
        <v>224</v>
      </c>
      <c r="K173" s="58"/>
      <c r="L173" s="58"/>
      <c r="M173" s="58"/>
      <c r="N173" s="7"/>
      <c r="O173" s="7"/>
      <c r="P173" s="10"/>
      <c r="Q173" s="58" t="s">
        <v>225</v>
      </c>
      <c r="R173" s="58"/>
      <c r="S173" s="58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s="1" customFormat="1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59" t="s">
        <v>230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s="1" customFormat="1" ht="13.5" customHeight="1">
      <c r="A176" s="4" t="s">
        <v>231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</sheetData>
  <sheetProtection selectLockedCells="1" selectUnlockedCells="1"/>
  <mergeCells count="1071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AC36"/>
    <mergeCell ref="A37:AC37"/>
    <mergeCell ref="A38:K38"/>
    <mergeCell ref="L38:N38"/>
    <mergeCell ref="O38:Q38"/>
    <mergeCell ref="R38:S38"/>
    <mergeCell ref="T38:V38"/>
    <mergeCell ref="W38:AA38"/>
    <mergeCell ref="AB38:AC38"/>
    <mergeCell ref="A39:K39"/>
    <mergeCell ref="L39:N39"/>
    <mergeCell ref="O39:Q39"/>
    <mergeCell ref="R39:S39"/>
    <mergeCell ref="T39:V39"/>
    <mergeCell ref="W39:AA39"/>
    <mergeCell ref="AB39:AC39"/>
    <mergeCell ref="A40:K40"/>
    <mergeCell ref="L40:N40"/>
    <mergeCell ref="O40:Q40"/>
    <mergeCell ref="R40:S40"/>
    <mergeCell ref="T40:V40"/>
    <mergeCell ref="W40:AA40"/>
    <mergeCell ref="AB40:AC40"/>
    <mergeCell ref="A41:K41"/>
    <mergeCell ref="L41:N41"/>
    <mergeCell ref="O41:Q41"/>
    <mergeCell ref="R41:S41"/>
    <mergeCell ref="T41:V41"/>
    <mergeCell ref="W41:AA41"/>
    <mergeCell ref="AB41:AC41"/>
    <mergeCell ref="A42:K42"/>
    <mergeCell ref="L42:N42"/>
    <mergeCell ref="O42:Q42"/>
    <mergeCell ref="R42:S42"/>
    <mergeCell ref="T42:V42"/>
    <mergeCell ref="W42:AA42"/>
    <mergeCell ref="AB42:AC42"/>
    <mergeCell ref="A43:K43"/>
    <mergeCell ref="L43:N43"/>
    <mergeCell ref="O43:Q43"/>
    <mergeCell ref="R43:S43"/>
    <mergeCell ref="T43:V43"/>
    <mergeCell ref="W43:AA43"/>
    <mergeCell ref="AB43:AC43"/>
    <mergeCell ref="A44:K44"/>
    <mergeCell ref="L44:N44"/>
    <mergeCell ref="O44:Q44"/>
    <mergeCell ref="R44:S44"/>
    <mergeCell ref="T44:V44"/>
    <mergeCell ref="W44:AA44"/>
    <mergeCell ref="AB44:AC44"/>
    <mergeCell ref="A45:K45"/>
    <mergeCell ref="L45:N45"/>
    <mergeCell ref="O45:Q45"/>
    <mergeCell ref="R45:S45"/>
    <mergeCell ref="T45:V45"/>
    <mergeCell ref="W45:AA45"/>
    <mergeCell ref="AB45:AC45"/>
    <mergeCell ref="A46:K46"/>
    <mergeCell ref="L46:N46"/>
    <mergeCell ref="O46:Q46"/>
    <mergeCell ref="R46:S46"/>
    <mergeCell ref="T46:V46"/>
    <mergeCell ref="W46:AA46"/>
    <mergeCell ref="AB46:AC46"/>
    <mergeCell ref="A47:K47"/>
    <mergeCell ref="L47:N47"/>
    <mergeCell ref="O47:Q47"/>
    <mergeCell ref="R47:S47"/>
    <mergeCell ref="T47:V47"/>
    <mergeCell ref="W47:AA47"/>
    <mergeCell ref="AB47:AC47"/>
    <mergeCell ref="A48:K48"/>
    <mergeCell ref="L48:N48"/>
    <mergeCell ref="O48:Q48"/>
    <mergeCell ref="R48:S48"/>
    <mergeCell ref="T48:V48"/>
    <mergeCell ref="W48:AA48"/>
    <mergeCell ref="AB48:AC48"/>
    <mergeCell ref="A49:K49"/>
    <mergeCell ref="L49:N49"/>
    <mergeCell ref="O49:Q49"/>
    <mergeCell ref="R49:S49"/>
    <mergeCell ref="T49:V49"/>
    <mergeCell ref="W49:AA49"/>
    <mergeCell ref="AB49:AC49"/>
    <mergeCell ref="A50:K50"/>
    <mergeCell ref="L50:N50"/>
    <mergeCell ref="O50:Q50"/>
    <mergeCell ref="R50:S50"/>
    <mergeCell ref="T50:V50"/>
    <mergeCell ref="W50:AA50"/>
    <mergeCell ref="AB50:AC50"/>
    <mergeCell ref="A51:K51"/>
    <mergeCell ref="L51:N51"/>
    <mergeCell ref="O51:Q51"/>
    <mergeCell ref="R51:S51"/>
    <mergeCell ref="T51:V51"/>
    <mergeCell ref="W51:AA51"/>
    <mergeCell ref="AB51:AC51"/>
    <mergeCell ref="A52:K52"/>
    <mergeCell ref="L52:N52"/>
    <mergeCell ref="O52:Q52"/>
    <mergeCell ref="R52:S52"/>
    <mergeCell ref="T52:V52"/>
    <mergeCell ref="W52:AA52"/>
    <mergeCell ref="AB52:AC52"/>
    <mergeCell ref="A53:K53"/>
    <mergeCell ref="L53:N53"/>
    <mergeCell ref="O53:Q53"/>
    <mergeCell ref="R53:S53"/>
    <mergeCell ref="T53:V53"/>
    <mergeCell ref="W53:AA53"/>
    <mergeCell ref="AB53:AC53"/>
    <mergeCell ref="A54:K54"/>
    <mergeCell ref="L54:N54"/>
    <mergeCell ref="O54:Q54"/>
    <mergeCell ref="R54:S54"/>
    <mergeCell ref="T54:V54"/>
    <mergeCell ref="W54:AA54"/>
    <mergeCell ref="AB54:AC54"/>
    <mergeCell ref="A55:K55"/>
    <mergeCell ref="L55:N55"/>
    <mergeCell ref="O55:Q55"/>
    <mergeCell ref="R55:S55"/>
    <mergeCell ref="T55:V55"/>
    <mergeCell ref="W55:AA55"/>
    <mergeCell ref="AB55:AC55"/>
    <mergeCell ref="A56:K56"/>
    <mergeCell ref="L56:N56"/>
    <mergeCell ref="O56:Q56"/>
    <mergeCell ref="R56:S56"/>
    <mergeCell ref="T56:V56"/>
    <mergeCell ref="W56:AA56"/>
    <mergeCell ref="AB56:AC56"/>
    <mergeCell ref="A57:K57"/>
    <mergeCell ref="L57:N57"/>
    <mergeCell ref="O57:Q57"/>
    <mergeCell ref="R57:S57"/>
    <mergeCell ref="T57:V57"/>
    <mergeCell ref="W57:AA57"/>
    <mergeCell ref="AB57:AC57"/>
    <mergeCell ref="A58:K58"/>
    <mergeCell ref="L58:N58"/>
    <mergeCell ref="O58:Q58"/>
    <mergeCell ref="R58:S58"/>
    <mergeCell ref="T58:V58"/>
    <mergeCell ref="W58:AA58"/>
    <mergeCell ref="AB58:AC58"/>
    <mergeCell ref="A59:K59"/>
    <mergeCell ref="L59:N59"/>
    <mergeCell ref="O59:Q59"/>
    <mergeCell ref="R59:S59"/>
    <mergeCell ref="T59:V59"/>
    <mergeCell ref="W59:AA59"/>
    <mergeCell ref="AB59:AC59"/>
    <mergeCell ref="A60:K60"/>
    <mergeCell ref="L60:N60"/>
    <mergeCell ref="O60:Q60"/>
    <mergeCell ref="R60:S60"/>
    <mergeCell ref="T60:V60"/>
    <mergeCell ref="W60:AA60"/>
    <mergeCell ref="AB60:AC60"/>
    <mergeCell ref="A61:K61"/>
    <mergeCell ref="L61:N61"/>
    <mergeCell ref="O61:Q61"/>
    <mergeCell ref="R61:S61"/>
    <mergeCell ref="T61:V61"/>
    <mergeCell ref="W61:AA61"/>
    <mergeCell ref="AB61:AC61"/>
    <mergeCell ref="A62:K62"/>
    <mergeCell ref="L62:N62"/>
    <mergeCell ref="O62:Q62"/>
    <mergeCell ref="R62:S62"/>
    <mergeCell ref="T62:V62"/>
    <mergeCell ref="W62:AA62"/>
    <mergeCell ref="AB62:AC62"/>
    <mergeCell ref="A63:K63"/>
    <mergeCell ref="L63:N63"/>
    <mergeCell ref="O63:Q63"/>
    <mergeCell ref="R63:S63"/>
    <mergeCell ref="T63:V63"/>
    <mergeCell ref="W63:AA63"/>
    <mergeCell ref="AB63:AC63"/>
    <mergeCell ref="A64:K64"/>
    <mergeCell ref="L64:N64"/>
    <mergeCell ref="O64:Q64"/>
    <mergeCell ref="R64:S64"/>
    <mergeCell ref="T64:V64"/>
    <mergeCell ref="W64:AA64"/>
    <mergeCell ref="AB64:AC64"/>
    <mergeCell ref="A65:K65"/>
    <mergeCell ref="L65:N65"/>
    <mergeCell ref="O65:Q65"/>
    <mergeCell ref="R65:S65"/>
    <mergeCell ref="T65:V65"/>
    <mergeCell ref="W65:AA65"/>
    <mergeCell ref="AB65:AC65"/>
    <mergeCell ref="A66:K66"/>
    <mergeCell ref="L66:N66"/>
    <mergeCell ref="O66:Q66"/>
    <mergeCell ref="R66:S66"/>
    <mergeCell ref="T66:V66"/>
    <mergeCell ref="W66:AA66"/>
    <mergeCell ref="AB66:AC66"/>
    <mergeCell ref="A67:K67"/>
    <mergeCell ref="L67:N67"/>
    <mergeCell ref="O67:Q67"/>
    <mergeCell ref="R67:S67"/>
    <mergeCell ref="T67:V67"/>
    <mergeCell ref="W67:AA67"/>
    <mergeCell ref="AB67:AC67"/>
    <mergeCell ref="A68:K68"/>
    <mergeCell ref="L68:N68"/>
    <mergeCell ref="O68:Q68"/>
    <mergeCell ref="R68:S68"/>
    <mergeCell ref="T68:V68"/>
    <mergeCell ref="W68:AA68"/>
    <mergeCell ref="AB68:AC68"/>
    <mergeCell ref="A69:K69"/>
    <mergeCell ref="L69:N69"/>
    <mergeCell ref="O69:Q69"/>
    <mergeCell ref="R69:S69"/>
    <mergeCell ref="T69:V69"/>
    <mergeCell ref="W69:AA69"/>
    <mergeCell ref="AB69:AC69"/>
    <mergeCell ref="A70:K70"/>
    <mergeCell ref="L70:N70"/>
    <mergeCell ref="O70:Q70"/>
    <mergeCell ref="R70:S70"/>
    <mergeCell ref="T70:V70"/>
    <mergeCell ref="W70:AA70"/>
    <mergeCell ref="AB70:AC70"/>
    <mergeCell ref="A71:K71"/>
    <mergeCell ref="L71:N71"/>
    <mergeCell ref="O71:Q71"/>
    <mergeCell ref="R71:S71"/>
    <mergeCell ref="T71:V71"/>
    <mergeCell ref="W71:AA71"/>
    <mergeCell ref="AB71:AC71"/>
    <mergeCell ref="A72:K72"/>
    <mergeCell ref="L72:N72"/>
    <mergeCell ref="O72:Q72"/>
    <mergeCell ref="R72:S72"/>
    <mergeCell ref="T72:V72"/>
    <mergeCell ref="W72:AA72"/>
    <mergeCell ref="AB72:AC72"/>
    <mergeCell ref="A73:K73"/>
    <mergeCell ref="L73:N73"/>
    <mergeCell ref="O73:Q73"/>
    <mergeCell ref="R73:S73"/>
    <mergeCell ref="T73:V73"/>
    <mergeCell ref="W73:AA73"/>
    <mergeCell ref="AB73:AC73"/>
    <mergeCell ref="A74:K74"/>
    <mergeCell ref="L74:N74"/>
    <mergeCell ref="O74:Q74"/>
    <mergeCell ref="R74:S74"/>
    <mergeCell ref="T74:V74"/>
    <mergeCell ref="W74:AA74"/>
    <mergeCell ref="AB74:AC74"/>
    <mergeCell ref="A75:K75"/>
    <mergeCell ref="L75:N75"/>
    <mergeCell ref="O75:Q75"/>
    <mergeCell ref="R75:S75"/>
    <mergeCell ref="T75:V75"/>
    <mergeCell ref="W75:AA75"/>
    <mergeCell ref="AB75:AC75"/>
    <mergeCell ref="A76:K76"/>
    <mergeCell ref="L76:N76"/>
    <mergeCell ref="O76:Q76"/>
    <mergeCell ref="R76:S76"/>
    <mergeCell ref="T76:V76"/>
    <mergeCell ref="W76:AA76"/>
    <mergeCell ref="AB76:AC76"/>
    <mergeCell ref="A77:K77"/>
    <mergeCell ref="L77:N77"/>
    <mergeCell ref="O77:Q77"/>
    <mergeCell ref="R77:S77"/>
    <mergeCell ref="T77:V77"/>
    <mergeCell ref="W77:AA77"/>
    <mergeCell ref="AB77:AC77"/>
    <mergeCell ref="A78:K78"/>
    <mergeCell ref="L78:N78"/>
    <mergeCell ref="O78:Q78"/>
    <mergeCell ref="R78:S78"/>
    <mergeCell ref="T78:V78"/>
    <mergeCell ref="W78:AA78"/>
    <mergeCell ref="AB78:AC78"/>
    <mergeCell ref="A79:K79"/>
    <mergeCell ref="L79:N79"/>
    <mergeCell ref="O79:Q79"/>
    <mergeCell ref="R79:S79"/>
    <mergeCell ref="T79:V79"/>
    <mergeCell ref="W79:AA79"/>
    <mergeCell ref="AB79:AC79"/>
    <mergeCell ref="A80:K80"/>
    <mergeCell ref="L80:N80"/>
    <mergeCell ref="O80:Q80"/>
    <mergeCell ref="R80:S80"/>
    <mergeCell ref="T80:V80"/>
    <mergeCell ref="W80:AA80"/>
    <mergeCell ref="AB80:AC80"/>
    <mergeCell ref="A81:K81"/>
    <mergeCell ref="L81:N81"/>
    <mergeCell ref="O81:Q81"/>
    <mergeCell ref="R81:S81"/>
    <mergeCell ref="T81:V81"/>
    <mergeCell ref="W81:AA81"/>
    <mergeCell ref="AB81:AC81"/>
    <mergeCell ref="A82:K82"/>
    <mergeCell ref="L82:N82"/>
    <mergeCell ref="O82:Q82"/>
    <mergeCell ref="R82:S82"/>
    <mergeCell ref="T82:V82"/>
    <mergeCell ref="W82:AA82"/>
    <mergeCell ref="AB82:AC82"/>
    <mergeCell ref="A83:K83"/>
    <mergeCell ref="L83:N83"/>
    <mergeCell ref="O83:Q83"/>
    <mergeCell ref="R83:S83"/>
    <mergeCell ref="T83:V83"/>
    <mergeCell ref="W83:AA83"/>
    <mergeCell ref="AB83:AC83"/>
    <mergeCell ref="A84:K84"/>
    <mergeCell ref="L84:N84"/>
    <mergeCell ref="O84:Q84"/>
    <mergeCell ref="R84:S84"/>
    <mergeCell ref="T84:V84"/>
    <mergeCell ref="W84:AA84"/>
    <mergeCell ref="AB84:AC84"/>
    <mergeCell ref="A85:K85"/>
    <mergeCell ref="L85:N85"/>
    <mergeCell ref="O85:Q85"/>
    <mergeCell ref="R85:S85"/>
    <mergeCell ref="T85:V85"/>
    <mergeCell ref="W85:AA85"/>
    <mergeCell ref="AB85:AC85"/>
    <mergeCell ref="A86:K86"/>
    <mergeCell ref="L86:N86"/>
    <mergeCell ref="O86:Q86"/>
    <mergeCell ref="R86:S86"/>
    <mergeCell ref="T86:V86"/>
    <mergeCell ref="W86:AA86"/>
    <mergeCell ref="AB86:AC86"/>
    <mergeCell ref="A87:K87"/>
    <mergeCell ref="L87:N87"/>
    <mergeCell ref="O87:Q87"/>
    <mergeCell ref="R87:S87"/>
    <mergeCell ref="T87:V87"/>
    <mergeCell ref="W87:AA87"/>
    <mergeCell ref="AB87:AC87"/>
    <mergeCell ref="A88:K88"/>
    <mergeCell ref="L88:N88"/>
    <mergeCell ref="O88:Q88"/>
    <mergeCell ref="R88:S88"/>
    <mergeCell ref="T88:V88"/>
    <mergeCell ref="W88:AA88"/>
    <mergeCell ref="AB88:AC88"/>
    <mergeCell ref="A89:K89"/>
    <mergeCell ref="L89:N89"/>
    <mergeCell ref="O89:Q89"/>
    <mergeCell ref="R89:S89"/>
    <mergeCell ref="T89:V89"/>
    <mergeCell ref="W89:AA89"/>
    <mergeCell ref="AB89:AC89"/>
    <mergeCell ref="A90:K90"/>
    <mergeCell ref="L90:N90"/>
    <mergeCell ref="O90:Q90"/>
    <mergeCell ref="R90:S90"/>
    <mergeCell ref="T90:V90"/>
    <mergeCell ref="W90:AA90"/>
    <mergeCell ref="AB90:AC90"/>
    <mergeCell ref="A91:K91"/>
    <mergeCell ref="L91:N91"/>
    <mergeCell ref="O91:Q91"/>
    <mergeCell ref="R91:S91"/>
    <mergeCell ref="T91:V91"/>
    <mergeCell ref="W91:AA91"/>
    <mergeCell ref="AB91:AC91"/>
    <mergeCell ref="A92:K92"/>
    <mergeCell ref="L92:N92"/>
    <mergeCell ref="O92:Q92"/>
    <mergeCell ref="R92:S92"/>
    <mergeCell ref="T92:V92"/>
    <mergeCell ref="W92:AA92"/>
    <mergeCell ref="AB92:AC92"/>
    <mergeCell ref="A93:K93"/>
    <mergeCell ref="L93:N93"/>
    <mergeCell ref="O93:Q93"/>
    <mergeCell ref="R93:S93"/>
    <mergeCell ref="T93:V93"/>
    <mergeCell ref="W93:AA93"/>
    <mergeCell ref="AB93:AC93"/>
    <mergeCell ref="A94:K94"/>
    <mergeCell ref="L94:N94"/>
    <mergeCell ref="O94:Q94"/>
    <mergeCell ref="R94:S94"/>
    <mergeCell ref="T94:V94"/>
    <mergeCell ref="W94:AA94"/>
    <mergeCell ref="AB94:AC94"/>
    <mergeCell ref="A95:K95"/>
    <mergeCell ref="L95:N95"/>
    <mergeCell ref="O95:Q95"/>
    <mergeCell ref="R95:S95"/>
    <mergeCell ref="T95:V95"/>
    <mergeCell ref="W95:AA95"/>
    <mergeCell ref="AB95:AC95"/>
    <mergeCell ref="A96:K96"/>
    <mergeCell ref="L96:N96"/>
    <mergeCell ref="O96:Q96"/>
    <mergeCell ref="R96:S96"/>
    <mergeCell ref="T96:V96"/>
    <mergeCell ref="W96:AA96"/>
    <mergeCell ref="AB96:AC96"/>
    <mergeCell ref="A97:K97"/>
    <mergeCell ref="L97:N97"/>
    <mergeCell ref="O97:Q97"/>
    <mergeCell ref="R97:S97"/>
    <mergeCell ref="T97:V97"/>
    <mergeCell ref="W97:AA97"/>
    <mergeCell ref="AB97:AC97"/>
    <mergeCell ref="A98:K98"/>
    <mergeCell ref="L98:N98"/>
    <mergeCell ref="O98:Q98"/>
    <mergeCell ref="R98:S98"/>
    <mergeCell ref="T98:V98"/>
    <mergeCell ref="W98:AA98"/>
    <mergeCell ref="AB98:AC98"/>
    <mergeCell ref="A99:K99"/>
    <mergeCell ref="L99:N99"/>
    <mergeCell ref="O99:Q99"/>
    <mergeCell ref="R99:S99"/>
    <mergeCell ref="T99:V99"/>
    <mergeCell ref="W99:AA99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2:AC152"/>
    <mergeCell ref="A153:AC153"/>
    <mergeCell ref="A154:L154"/>
    <mergeCell ref="M154:O154"/>
    <mergeCell ref="P154:R154"/>
    <mergeCell ref="S154:U154"/>
    <mergeCell ref="V154:Z154"/>
    <mergeCell ref="AA154:AC154"/>
    <mergeCell ref="A155:L155"/>
    <mergeCell ref="M155:O155"/>
    <mergeCell ref="P155:R155"/>
    <mergeCell ref="S155:U155"/>
    <mergeCell ref="V155:Z155"/>
    <mergeCell ref="AA155:AC155"/>
    <mergeCell ref="A156:L156"/>
    <mergeCell ref="M156:O156"/>
    <mergeCell ref="P156:R156"/>
    <mergeCell ref="S156:U156"/>
    <mergeCell ref="V156:Z156"/>
    <mergeCell ref="AA156:AC156"/>
    <mergeCell ref="A157:L157"/>
    <mergeCell ref="M157:O157"/>
    <mergeCell ref="P157:R157"/>
    <mergeCell ref="S157:U157"/>
    <mergeCell ref="V157:Z157"/>
    <mergeCell ref="AA157:AC157"/>
    <mergeCell ref="A158:L158"/>
    <mergeCell ref="M158:O158"/>
    <mergeCell ref="P158:R158"/>
    <mergeCell ref="S158:U158"/>
    <mergeCell ref="V158:Z158"/>
    <mergeCell ref="AA158:AC158"/>
    <mergeCell ref="A159:AC159"/>
    <mergeCell ref="A160:L160"/>
    <mergeCell ref="M160:O160"/>
    <mergeCell ref="P160:R160"/>
    <mergeCell ref="S160:U160"/>
    <mergeCell ref="V160:Z160"/>
    <mergeCell ref="AA160:AC160"/>
    <mergeCell ref="A161:L161"/>
    <mergeCell ref="M161:O161"/>
    <mergeCell ref="P161:R161"/>
    <mergeCell ref="S161:U161"/>
    <mergeCell ref="V161:Z161"/>
    <mergeCell ref="AA161:AC161"/>
    <mergeCell ref="A162:L162"/>
    <mergeCell ref="M162:O162"/>
    <mergeCell ref="P162:R162"/>
    <mergeCell ref="S162:U162"/>
    <mergeCell ref="V162:Z162"/>
    <mergeCell ref="AA162:AC162"/>
    <mergeCell ref="A163:L163"/>
    <mergeCell ref="M163:O163"/>
    <mergeCell ref="P163:R163"/>
    <mergeCell ref="S163:U163"/>
    <mergeCell ref="V163:Z163"/>
    <mergeCell ref="AA163:AC163"/>
    <mergeCell ref="A164:L164"/>
    <mergeCell ref="M164:O164"/>
    <mergeCell ref="P164:R164"/>
    <mergeCell ref="S164:U164"/>
    <mergeCell ref="V164:Z164"/>
    <mergeCell ref="AA164:AC164"/>
    <mergeCell ref="A165:AC165"/>
    <mergeCell ref="A166:H166"/>
    <mergeCell ref="I166:O166"/>
    <mergeCell ref="P166:T166"/>
    <mergeCell ref="U166:AC166"/>
    <mergeCell ref="A167:H167"/>
    <mergeCell ref="J167:M167"/>
    <mergeCell ref="N167:O167"/>
    <mergeCell ref="Q167:S167"/>
    <mergeCell ref="T167:AC167"/>
    <mergeCell ref="A168:AC168"/>
    <mergeCell ref="A169:H169"/>
    <mergeCell ref="I169:O169"/>
    <mergeCell ref="P169:T169"/>
    <mergeCell ref="U169:AC169"/>
    <mergeCell ref="A170:H170"/>
    <mergeCell ref="J170:M170"/>
    <mergeCell ref="N170:O170"/>
    <mergeCell ref="Q170:S170"/>
    <mergeCell ref="T170:AC170"/>
    <mergeCell ref="A171:AC171"/>
    <mergeCell ref="A172:B172"/>
    <mergeCell ref="C172:H172"/>
    <mergeCell ref="I172:O172"/>
    <mergeCell ref="P172:T172"/>
    <mergeCell ref="U172:AC172"/>
    <mergeCell ref="A173:B173"/>
    <mergeCell ref="D173:G173"/>
    <mergeCell ref="J173:M173"/>
    <mergeCell ref="N173:O173"/>
    <mergeCell ref="Q173:S173"/>
    <mergeCell ref="T173:AC173"/>
    <mergeCell ref="A174:AC174"/>
    <mergeCell ref="A175:J175"/>
    <mergeCell ref="K175:AC175"/>
    <mergeCell ref="A176:AC176"/>
  </mergeCells>
  <printOptions/>
  <pageMargins left="0.39375" right="0" top="0.39375" bottom="0.5" header="0.5118055555555555" footer="0.5"/>
  <pageSetup horizontalDpi="300" verticalDpi="300" orientation="landscape" paperSize="9"/>
  <headerFooter alignWithMargins="0">
    <oddFooter xml:space="preserve">&amp;CСтраница  из </oddFooter>
  </headerFooter>
  <rowBreaks count="2" manualBreakCount="2">
    <brk id="36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