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<sst xmlns="http://schemas.openxmlformats.org/spreadsheetml/2006/main" count="662" uniqueCount="237">
  <si>
    <t>ОТЧЕТ ОБ ИСПОЛНЕНИИ БЮДЖЕТА</t>
  </si>
  <si>
    <t>КОДЫ</t>
  </si>
  <si>
    <t xml:space="preserve">Форма по ОКУД </t>
  </si>
  <si>
    <t>0503117</t>
  </si>
  <si>
    <t>на 1 июля 2022 г.</t>
  </si>
  <si>
    <t xml:space="preserve">Дата </t>
  </si>
  <si>
    <t>Наименование финансового органа</t>
  </si>
  <si>
    <t>АДМИНИСТРАЦИЯ СЕЛЬСКОГО ПОСЕЛЕНИЯ ГОРНОПРАВДИНСК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</si>
  <si>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</si>
  <si>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</si>
  <si>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</si>
  <si>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</si>
  <si>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сельского поселения Горноправдинск</t>
  </si>
  <si>
    <t xml:space="preserve">по ОКТМО </t>
  </si>
  <si>
    <t>71829406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</si>
  <si>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</si>
  <si>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</si>
  <si>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</si>
  <si>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</si>
  <si>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</si>
  <si>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</si>
  <si>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</si>
  <si>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</si>
  <si>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</si>
  <si>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</si>
  <si>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</si>
  <si>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</si>
  <si>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</si>
  <si>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</si>
  <si>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</si>
  <si>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</si>
  <si>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</si>
  <si>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</si>
  <si>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</si>
  <si>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</si>
  <si>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</si>
  <si>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</si>
  <si>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</si>
  <si>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</si>
  <si>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</si>
  <si>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</si>
  <si>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</si>
  <si>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</si>
  <si>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</si>
  <si>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</si>
  <si>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</si>
  <si>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</si>
  <si>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</si>
  <si>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</si>
  <si>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</si>
  <si>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</si>
  <si>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</si>
  <si>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</si>
  <si>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</si>
  <si>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</si>
  <si>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</si>
  <si>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</si>
  <si>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</si>
  <si>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</si>
  <si>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</si>
  <si>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</si>
  <si>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</si>
  <si>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</si>
  <si>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</si>
  <si>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</si>
  <si>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650 11105025 10 0000 120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</si>
  <si>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</si>
  <si>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</si>
  <si>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компенсации затрат бюджетов сельских поселений</t>
  </si>
  <si>
    <t>650 11302995 10 0000 130</t>
  </si>
  <si>
    <t>Доходы от продажи квартир, находящихся в собственности сельских поселений</t>
  </si>
  <si>
    <t>650 11401050 10 0000 410</t>
  </si>
  <si>
    <t>Денежные средства, полученные от реализации иного имущества, обращенного в собственность сельского поселения, подлежащие зачислению в бюджет сельского поселения (в части реализации основных средств по указанному имуществу)</t>
  </si>
  <si>
    <t>650 11414040 10 0000 410</t>
  </si>
  <si>
    <t>Невыясненные поступления, зачисляемые в бюджеты сельских поселений</t>
  </si>
  <si>
    <t>650 11701050 10 0000 180</t>
  </si>
  <si>
    <t>Дотации бюджетам сельских поселений на выравнивание бюджетной обеспеченности из бюджетов муниципальных районов</t>
  </si>
  <si>
    <t>650 20216001 10 0000 150</t>
  </si>
  <si>
    <t>Прочие субсидии бюджетам сельских поселений</t>
  </si>
  <si>
    <t>650 20229999 10 0000 150</t>
  </si>
  <si>
    <t>Субвенции бюджетам сельских поселений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</si>
  <si>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</si>
  <si>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</si>
  <si>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650 20235118 10 0000 150</t>
  </si>
  <si>
    <t>Субвенции бюджетам сельских поселений на государственную регистрацию актов гражданского состояния</t>
  </si>
  <si>
    <t>650 20235930 10 0000 150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</si>
  <si>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</si>
  <si>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650 20240014 10 0000 150</t>
  </si>
  <si>
    <t>Прочие межбюджетные трансферты, передаваемые бюджетам сельских поселений</t>
  </si>
  <si>
    <t>650 20249999 10 0000 150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</si>
  <si>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</si>
  <si>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650 20805000 10 0000 150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</si>
  <si>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</si>
  <si>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</si>
  <si>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</si>
  <si>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</si>
  <si>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</si>
  <si>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</si>
  <si>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</si>
  <si>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650 0102 1900102030 121</t>
  </si>
  <si>
    <t>211</t>
  </si>
  <si>
    <t>Начисления на выплаты по оплате труда</t>
  </si>
  <si>
    <t>650 0102 1900102030 129</t>
  </si>
  <si>
    <t>213</t>
  </si>
  <si>
    <t>650 0104 1900102040 121</t>
  </si>
  <si>
    <t>Социальные пособия и компенсации персоналу в денежной форме</t>
  </si>
  <si>
    <t>266</t>
  </si>
  <si>
    <t>650 0104 1900102040 129</t>
  </si>
  <si>
    <t>650 0104 1900102050 121</t>
  </si>
  <si>
    <t>650 0104 1900102050 129</t>
  </si>
  <si>
    <t>Прочие несоциальные выплаты персоналу в денежной форме</t>
  </si>
  <si>
    <t>650 0104 1900102400 122</t>
  </si>
  <si>
    <t>212</t>
  </si>
  <si>
    <t>Прочие несоциальные выплаты персоналу в натуральной форме</t>
  </si>
  <si>
    <t>214</t>
  </si>
  <si>
    <t>Транспортные услуги</t>
  </si>
  <si>
    <t>222</t>
  </si>
  <si>
    <t>Прочие работы, услуги</t>
  </si>
  <si>
    <t>226</t>
  </si>
  <si>
    <t>Социальные компенсации персоналу в натуральной форме</t>
  </si>
  <si>
    <t>267</t>
  </si>
  <si>
    <t>Перечисления текущего характера другим бюджетам бюджетной системы Российской Федерации</t>
  </si>
  <si>
    <t>650 0106 7000089020 540</t>
  </si>
  <si>
    <t>251</t>
  </si>
  <si>
    <t>Услуги связи</t>
  </si>
  <si>
    <t>650 0113 1900299990 244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</si>
  <si>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</si>
  <si>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</si>
  <si>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</si>
  <si>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</si>
  <si>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</si>
  <si>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Страхование</t>
  </si>
  <si>
    <t>227</t>
  </si>
  <si>
    <t>Увеличение стоимости горюче-смазочных материалов</t>
  </si>
  <si>
    <t>343</t>
  </si>
  <si>
    <t>Увеличение стоимости прочих материальных запасов</t>
  </si>
  <si>
    <t>346</t>
  </si>
  <si>
    <t>Увеличение стоимости прочих материальных запасов однократного применения</t>
  </si>
  <si>
    <t>349</t>
  </si>
  <si>
    <t>650 0113 1900299990 247</t>
  </si>
  <si>
    <t>Налоги, пошлины и сборы</t>
  </si>
  <si>
    <t>650 0113 1900299990 851</t>
  </si>
  <si>
    <t>291</t>
  </si>
  <si>
    <t>650 0113 1900299990 852</t>
  </si>
  <si>
    <t>650 0113 1900299990 853</t>
  </si>
  <si>
    <t>Иные выплаты текущего характера организациям</t>
  </si>
  <si>
    <t>297</t>
  </si>
  <si>
    <t>650 0113 2200199990 244</t>
  </si>
  <si>
    <t>650 0113 2200299990 244</t>
  </si>
  <si>
    <t>650 0113 2200299990 247</t>
  </si>
  <si>
    <t>650 0203 7000051180 121</t>
  </si>
  <si>
    <t>650 0203 7000051180 129</t>
  </si>
  <si>
    <t>650 0304 7000059300 121</t>
  </si>
  <si>
    <t>650 0304 70000D9300 129</t>
  </si>
  <si>
    <t>650 0304 70000D9300 244</t>
  </si>
  <si>
    <t>650 0310 1410199990 244</t>
  </si>
  <si>
    <t>650 0310 1410220802 244</t>
  </si>
  <si>
    <t>650 0310 1410299990 244</t>
  </si>
  <si>
    <t>650 0310 14102S0802 244</t>
  </si>
  <si>
    <t>650 0310 1420120803 244</t>
  </si>
  <si>
    <t>650 0310 1420199990 244</t>
  </si>
  <si>
    <t>650 0310 14201S0803 244</t>
  </si>
  <si>
    <t>650 0314 1310182300 244</t>
  </si>
  <si>
    <t>650 0314 13101S2300 244</t>
  </si>
  <si>
    <t>Безвозмездные перечисления (передачи) текущего характера сектора государственного управления</t>
  </si>
  <si>
    <t>650 0401 7000085060 612</t>
  </si>
  <si>
    <t>241</t>
  </si>
  <si>
    <t>650 0405 0850120600 244</t>
  </si>
  <si>
    <t>650 0405 0850184200 244</t>
  </si>
  <si>
    <t>650 0405 08501S0600 244</t>
  </si>
  <si>
    <t>650 0405 1210720600 244</t>
  </si>
  <si>
    <t>650 0405 1210784200 244</t>
  </si>
  <si>
    <t>650 0409 1830189010 244</t>
  </si>
  <si>
    <t>650 0409 7000099990 244</t>
  </si>
  <si>
    <t>650 0410 1900220070 244</t>
  </si>
  <si>
    <t>Увеличение стоимости основных средств</t>
  </si>
  <si>
    <t>310</t>
  </si>
  <si>
    <t>650 0412 1600199990 244</t>
  </si>
  <si>
    <t>650 0412 2200399990 244</t>
  </si>
  <si>
    <t>650 0412 2200399990 245</t>
  </si>
  <si>
    <t>650 0412 7000089020 540</t>
  </si>
  <si>
    <t>650 0412 7000099990 240</t>
  </si>
  <si>
    <t>650 0501 1100199990 244</t>
  </si>
  <si>
    <t>650 0501 2200199990 244</t>
  </si>
  <si>
    <t>650 0501 2200299990 244</t>
  </si>
  <si>
    <t>650 0502 7000099990 244</t>
  </si>
  <si>
    <t>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</si>
  <si>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650 0502 7000099990 811</t>
  </si>
  <si>
    <t>24A</t>
  </si>
  <si>
    <t>650 0503 1210120826 244</t>
  </si>
  <si>
    <t>650 0503 1210185160 244</t>
  </si>
  <si>
    <t>650 0503 1210199990 244</t>
  </si>
  <si>
    <t>Увеличение стоимости строительных материалов</t>
  </si>
  <si>
    <t>344</t>
  </si>
  <si>
    <t>650 0503 1210220812 244</t>
  </si>
  <si>
    <t>650 0503 1210299990 244</t>
  </si>
  <si>
    <t>650 0503 12102S0812 244</t>
  </si>
  <si>
    <t>650 0503 1210399990 244</t>
  </si>
  <si>
    <t>650 0503 1210499990 244</t>
  </si>
  <si>
    <t>650 0503 1210499990 247</t>
  </si>
  <si>
    <t>650 0503 1210599990 244</t>
  </si>
  <si>
    <t>650 0503 1210682751 244</t>
  </si>
  <si>
    <t>650 0503 12106S2751 244</t>
  </si>
  <si>
    <t>650 0503 122F255550 244</t>
  </si>
  <si>
    <t>650 0503 7000089020 540</t>
  </si>
  <si>
    <t>650 0707 7000020825 612</t>
  </si>
  <si>
    <t>650 0801 0500100601 611</t>
  </si>
  <si>
    <t>650 0801 0500161990 611</t>
  </si>
  <si>
    <t>650 0801 0500200601 611</t>
  </si>
  <si>
    <t>650 0801 0500261990 611</t>
  </si>
  <si>
    <t>650 0801 7000061990 612</t>
  </si>
  <si>
    <t>650 0907 7000020816 244</t>
  </si>
  <si>
    <t>Пенсии, пособия, выплачиваемые работодателями, нанимателями бывшим работникам</t>
  </si>
  <si>
    <t>650 1001 1900399990 312</t>
  </si>
  <si>
    <t>264</t>
  </si>
  <si>
    <t>650 1101 0500361990 611</t>
  </si>
  <si>
    <t>650 1101 7000061990 612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</si>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</sst>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0" fontId="5" fillId="33" borderId="15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4" fontId="5" fillId="33" borderId="27" xfId="0" applyNumberFormat="1" applyFont="1" applyFill="1" applyBorder="1" applyAlignment="1">
      <alignment horizontal="right" vertical="center" wrapText="1"/>
    </xf>
    <xf numFmtId="0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8" fillId="33" borderId="26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33" borderId="30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4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lef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7" fillId="33" borderId="38" xfId="0" applyNumberFormat="1" applyFont="1" applyFill="1" applyBorder="1" applyAlignment="1">
      <alignment horizont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0" fontId="6" fillId="33" borderId="40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60"/>
  <sheetViews>
    <sheetView tabSelected="1" zoomScalePageLayoutView="0" workbookViewId="0" topLeftCell="A1">
      <selection activeCell="Y14" sqref="Y14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2" t="s">
        <v>1</v>
      </c>
    </row>
    <row r="2" spans="1:21" s="1" customFormat="1" ht="13.5" customHeight="1">
      <c r="A2" s="10" t="s">
        <v>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" t="s">
        <v>3</v>
      </c>
    </row>
    <row r="3" spans="1:21" s="1" customFormat="1" ht="13.5" customHeight="1">
      <c r="A3" s="59" t="s">
        <v>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10" t="s">
        <v>5</v>
      </c>
      <c r="S3" s="10"/>
      <c r="T3" s="10"/>
      <c r="U3" s="4">
        <v>44743</v>
      </c>
    </row>
    <row r="4" spans="1:21" s="1" customFormat="1" ht="13.5" customHeight="1">
      <c r="A4" s="9" t="s">
        <v>6</v>
      </c>
      <c r="B4" s="9"/>
      <c r="C4" s="9"/>
      <c r="D4" s="58" t="s">
        <v>7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10" t="s">
        <v>8</v>
      </c>
      <c r="R4" s="10"/>
      <c r="S4" s="10"/>
      <c r="T4" s="10"/>
      <c r="U4" s="6" t="s">
        <v>10</v>
      </c>
    </row>
    <row r="5" spans="1:21" s="1" customFormat="1" ht="13.5" customHeight="1">
      <c r="A5" s="9"/>
      <c r="B5" s="9"/>
      <c r="C5" s="9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10" t="s">
        <v>9</v>
      </c>
      <c r="R5" s="10"/>
      <c r="S5" s="10"/>
      <c r="T5" s="10"/>
      <c r="U5" s="6" t="s">
        <v>10</v>
      </c>
    </row>
    <row r="6" spans="1:21" s="1" customFormat="1" ht="13.5" customHeight="1">
      <c r="A6" s="9" t="s">
        <v>11</v>
      </c>
      <c r="B6" s="9"/>
      <c r="C6" s="9"/>
      <c r="D6" s="9"/>
      <c r="E6" s="58" t="s">
        <v>12</v>
      </c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10" t="s">
        <v>13</v>
      </c>
      <c r="R6" s="10"/>
      <c r="S6" s="10"/>
      <c r="T6" s="10"/>
      <c r="U6" s="6" t="s">
        <v>14</v>
      </c>
    </row>
    <row r="7" spans="1:21" s="1" customFormat="1" ht="13.5" customHeight="1">
      <c r="A7" s="5" t="s">
        <v>15</v>
      </c>
      <c r="B7" s="9" t="s">
        <v>16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6" t="s">
        <v>10</v>
      </c>
    </row>
    <row r="8" spans="1:21" s="1" customFormat="1" ht="13.5" customHeight="1">
      <c r="A8" s="9" t="s">
        <v>17</v>
      </c>
      <c r="B8" s="9"/>
      <c r="C8" s="9" t="s">
        <v>18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" t="s">
        <v>19</v>
      </c>
      <c r="Q8" s="10"/>
      <c r="R8" s="10"/>
      <c r="S8" s="10"/>
      <c r="T8" s="10"/>
      <c r="U8" s="7" t="s">
        <v>20</v>
      </c>
    </row>
    <row r="9" spans="1:21" s="1" customFormat="1" ht="13.5" customHeight="1">
      <c r="A9" s="38" t="s">
        <v>21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</row>
    <row r="10" spans="1:21" s="1" customFormat="1" ht="34.5" customHeight="1">
      <c r="A10" s="39" t="s">
        <v>22</v>
      </c>
      <c r="B10" s="39"/>
      <c r="C10" s="39"/>
      <c r="D10" s="39"/>
      <c r="E10" s="39"/>
      <c r="F10" s="39"/>
      <c r="G10" s="39"/>
      <c r="H10" s="39" t="s">
        <v>23</v>
      </c>
      <c r="I10" s="39"/>
      <c r="J10" s="39" t="s">
        <v>24</v>
      </c>
      <c r="K10" s="39"/>
      <c r="L10" s="40" t="s">
        <v>25</v>
      </c>
      <c r="M10" s="40"/>
      <c r="N10" s="40" t="s">
        <v>26</v>
      </c>
      <c r="O10" s="40"/>
      <c r="P10" s="40"/>
      <c r="Q10" s="40"/>
      <c r="R10" s="40"/>
      <c r="S10" s="41" t="s">
        <v>27</v>
      </c>
      <c r="T10" s="41"/>
      <c r="U10" s="41"/>
    </row>
    <row r="11" spans="1:21" s="1" customFormat="1" ht="12.75" customHeight="1">
      <c r="A11" s="35" t="s">
        <v>28</v>
      </c>
      <c r="B11" s="35"/>
      <c r="C11" s="35"/>
      <c r="D11" s="35"/>
      <c r="E11" s="35"/>
      <c r="F11" s="35"/>
      <c r="G11" s="35"/>
      <c r="H11" s="35" t="s">
        <v>29</v>
      </c>
      <c r="I11" s="35"/>
      <c r="J11" s="35" t="s">
        <v>30</v>
      </c>
      <c r="K11" s="35"/>
      <c r="L11" s="36" t="s">
        <v>31</v>
      </c>
      <c r="M11" s="36"/>
      <c r="N11" s="36" t="s">
        <v>32</v>
      </c>
      <c r="O11" s="36"/>
      <c r="P11" s="36"/>
      <c r="Q11" s="36"/>
      <c r="R11" s="36"/>
      <c r="S11" s="37" t="s">
        <v>33</v>
      </c>
      <c r="T11" s="37"/>
      <c r="U11" s="37"/>
    </row>
    <row r="12" spans="1:21" s="1" customFormat="1" ht="13.5" customHeight="1">
      <c r="A12" s="30" t="s">
        <v>34</v>
      </c>
      <c r="B12" s="30"/>
      <c r="C12" s="30"/>
      <c r="D12" s="30"/>
      <c r="E12" s="30"/>
      <c r="F12" s="30"/>
      <c r="G12" s="30"/>
      <c r="H12" s="31" t="s">
        <v>35</v>
      </c>
      <c r="I12" s="31"/>
      <c r="J12" s="31" t="s">
        <v>36</v>
      </c>
      <c r="K12" s="31"/>
      <c r="L12" s="52">
        <f>132966869.98</f>
        <v>132966869.98</v>
      </c>
      <c r="M12" s="52"/>
      <c r="N12" s="52">
        <f>65397763.54</f>
        <v>65397763.54</v>
      </c>
      <c r="O12" s="52"/>
      <c r="P12" s="52"/>
      <c r="Q12" s="52"/>
      <c r="R12" s="52"/>
      <c r="S12" s="53">
        <f>67569106.44</f>
        <v>67569106.44</v>
      </c>
      <c r="T12" s="53"/>
      <c r="U12" s="53"/>
    </row>
    <row r="13" spans="1:21" s="1" customFormat="1" ht="66" customHeight="1">
      <c r="A13" s="22" t="s">
        <v>37</v>
      </c>
      <c r="B13" s="22"/>
      <c r="C13" s="22"/>
      <c r="D13" s="22"/>
      <c r="E13" s="22"/>
      <c r="F13" s="22"/>
      <c r="G13" s="22"/>
      <c r="H13" s="24" t="s">
        <v>35</v>
      </c>
      <c r="I13" s="24"/>
      <c r="J13" s="24" t="s">
        <v>38</v>
      </c>
      <c r="K13" s="24"/>
      <c r="L13" s="55">
        <f>2706830</f>
        <v>2706830</v>
      </c>
      <c r="M13" s="55"/>
      <c r="N13" s="55">
        <f>1573461.53</f>
        <v>1573461.53</v>
      </c>
      <c r="O13" s="55"/>
      <c r="P13" s="55"/>
      <c r="Q13" s="55"/>
      <c r="R13" s="55"/>
      <c r="S13" s="57">
        <f>1133368.47</f>
        <v>1133368.47</v>
      </c>
      <c r="T13" s="57"/>
      <c r="U13" s="57"/>
    </row>
    <row r="14" spans="1:21" s="1" customFormat="1" ht="75.75" customHeight="1">
      <c r="A14" s="22" t="s">
        <v>39</v>
      </c>
      <c r="B14" s="22"/>
      <c r="C14" s="22"/>
      <c r="D14" s="22"/>
      <c r="E14" s="22"/>
      <c r="F14" s="22"/>
      <c r="G14" s="22"/>
      <c r="H14" s="24" t="s">
        <v>35</v>
      </c>
      <c r="I14" s="24"/>
      <c r="J14" s="24" t="s">
        <v>40</v>
      </c>
      <c r="K14" s="24"/>
      <c r="L14" s="55">
        <f>15270</f>
        <v>15270</v>
      </c>
      <c r="M14" s="55"/>
      <c r="N14" s="55">
        <f>9262.87</f>
        <v>9262.87</v>
      </c>
      <c r="O14" s="55"/>
      <c r="P14" s="55"/>
      <c r="Q14" s="55"/>
      <c r="R14" s="55"/>
      <c r="S14" s="57">
        <f>6007.13</f>
        <v>6007.13</v>
      </c>
      <c r="T14" s="57"/>
      <c r="U14" s="57"/>
    </row>
    <row r="15" spans="1:21" s="1" customFormat="1" ht="66" customHeight="1">
      <c r="A15" s="22" t="s">
        <v>41</v>
      </c>
      <c r="B15" s="22"/>
      <c r="C15" s="22"/>
      <c r="D15" s="22"/>
      <c r="E15" s="22"/>
      <c r="F15" s="22"/>
      <c r="G15" s="22"/>
      <c r="H15" s="24" t="s">
        <v>35</v>
      </c>
      <c r="I15" s="24"/>
      <c r="J15" s="24" t="s">
        <v>42</v>
      </c>
      <c r="K15" s="24"/>
      <c r="L15" s="55">
        <f>3551490</f>
        <v>3551490</v>
      </c>
      <c r="M15" s="55"/>
      <c r="N15" s="55">
        <f>1812524.75</f>
        <v>1812524.75</v>
      </c>
      <c r="O15" s="55"/>
      <c r="P15" s="55"/>
      <c r="Q15" s="55"/>
      <c r="R15" s="55"/>
      <c r="S15" s="57">
        <f>1738965.25</f>
        <v>1738965.25</v>
      </c>
      <c r="T15" s="57"/>
      <c r="U15" s="57"/>
    </row>
    <row r="16" spans="1:21" s="1" customFormat="1" ht="66" customHeight="1">
      <c r="A16" s="22" t="s">
        <v>43</v>
      </c>
      <c r="B16" s="22"/>
      <c r="C16" s="22"/>
      <c r="D16" s="22"/>
      <c r="E16" s="22"/>
      <c r="F16" s="22"/>
      <c r="G16" s="22"/>
      <c r="H16" s="24" t="s">
        <v>35</v>
      </c>
      <c r="I16" s="24"/>
      <c r="J16" s="24" t="s">
        <v>44</v>
      </c>
      <c r="K16" s="24"/>
      <c r="L16" s="55">
        <f>-385590</f>
        <v>-385590</v>
      </c>
      <c r="M16" s="55"/>
      <c r="N16" s="55">
        <f>-198596.71</f>
        <v>-198596.71</v>
      </c>
      <c r="O16" s="55"/>
      <c r="P16" s="55"/>
      <c r="Q16" s="55"/>
      <c r="R16" s="55"/>
      <c r="S16" s="57">
        <f>-186993.29</f>
        <v>-186993.29</v>
      </c>
      <c r="T16" s="57"/>
      <c r="U16" s="57"/>
    </row>
    <row r="17" spans="1:21" s="1" customFormat="1" ht="45" customHeight="1">
      <c r="A17" s="22" t="s">
        <v>45</v>
      </c>
      <c r="B17" s="22"/>
      <c r="C17" s="22"/>
      <c r="D17" s="22"/>
      <c r="E17" s="22"/>
      <c r="F17" s="22"/>
      <c r="G17" s="22"/>
      <c r="H17" s="24" t="s">
        <v>35</v>
      </c>
      <c r="I17" s="24"/>
      <c r="J17" s="24" t="s">
        <v>46</v>
      </c>
      <c r="K17" s="24"/>
      <c r="L17" s="55">
        <f>21699999.96</f>
        <v>21699999.96</v>
      </c>
      <c r="M17" s="55"/>
      <c r="N17" s="55">
        <f>11751974.92</f>
        <v>11751974.92</v>
      </c>
      <c r="O17" s="55"/>
      <c r="P17" s="55"/>
      <c r="Q17" s="55"/>
      <c r="R17" s="55"/>
      <c r="S17" s="57">
        <f>9948025.04</f>
        <v>9948025.04</v>
      </c>
      <c r="T17" s="57"/>
      <c r="U17" s="57"/>
    </row>
    <row r="18" spans="1:21" s="1" customFormat="1" ht="66" customHeight="1">
      <c r="A18" s="22" t="s">
        <v>47</v>
      </c>
      <c r="B18" s="22"/>
      <c r="C18" s="22"/>
      <c r="D18" s="22"/>
      <c r="E18" s="22"/>
      <c r="F18" s="22"/>
      <c r="G18" s="22"/>
      <c r="H18" s="24" t="s">
        <v>35</v>
      </c>
      <c r="I18" s="24"/>
      <c r="J18" s="24" t="s">
        <v>48</v>
      </c>
      <c r="K18" s="24"/>
      <c r="L18" s="26" t="s">
        <v>49</v>
      </c>
      <c r="M18" s="26"/>
      <c r="N18" s="55">
        <f>2374.31</f>
        <v>2374.31</v>
      </c>
      <c r="O18" s="55"/>
      <c r="P18" s="55"/>
      <c r="Q18" s="55"/>
      <c r="R18" s="55"/>
      <c r="S18" s="56" t="s">
        <v>49</v>
      </c>
      <c r="T18" s="56"/>
      <c r="U18" s="56"/>
    </row>
    <row r="19" spans="1:21" s="1" customFormat="1" ht="24" customHeight="1">
      <c r="A19" s="22" t="s">
        <v>50</v>
      </c>
      <c r="B19" s="22"/>
      <c r="C19" s="22"/>
      <c r="D19" s="22"/>
      <c r="E19" s="22"/>
      <c r="F19" s="22"/>
      <c r="G19" s="22"/>
      <c r="H19" s="24" t="s">
        <v>35</v>
      </c>
      <c r="I19" s="24"/>
      <c r="J19" s="24" t="s">
        <v>51</v>
      </c>
      <c r="K19" s="24"/>
      <c r="L19" s="26" t="s">
        <v>49</v>
      </c>
      <c r="M19" s="26"/>
      <c r="N19" s="55">
        <f>92986.63</f>
        <v>92986.63</v>
      </c>
      <c r="O19" s="55"/>
      <c r="P19" s="55"/>
      <c r="Q19" s="55"/>
      <c r="R19" s="55"/>
      <c r="S19" s="56" t="s">
        <v>49</v>
      </c>
      <c r="T19" s="56"/>
      <c r="U19" s="56"/>
    </row>
    <row r="20" spans="1:21" s="1" customFormat="1" ht="13.5" customHeight="1">
      <c r="A20" s="22" t="s">
        <v>52</v>
      </c>
      <c r="B20" s="22"/>
      <c r="C20" s="22"/>
      <c r="D20" s="22"/>
      <c r="E20" s="22"/>
      <c r="F20" s="22"/>
      <c r="G20" s="22"/>
      <c r="H20" s="24" t="s">
        <v>35</v>
      </c>
      <c r="I20" s="24"/>
      <c r="J20" s="24" t="s">
        <v>53</v>
      </c>
      <c r="K20" s="24"/>
      <c r="L20" s="55">
        <f>6700</f>
        <v>6700</v>
      </c>
      <c r="M20" s="55"/>
      <c r="N20" s="55">
        <f>6688.29</f>
        <v>6688.29</v>
      </c>
      <c r="O20" s="55"/>
      <c r="P20" s="55"/>
      <c r="Q20" s="55"/>
      <c r="R20" s="55"/>
      <c r="S20" s="57">
        <f>11.71</f>
        <v>11.71</v>
      </c>
      <c r="T20" s="57"/>
      <c r="U20" s="57"/>
    </row>
    <row r="21" spans="1:21" s="1" customFormat="1" ht="24" customHeight="1">
      <c r="A21" s="22" t="s">
        <v>54</v>
      </c>
      <c r="B21" s="22"/>
      <c r="C21" s="22"/>
      <c r="D21" s="22"/>
      <c r="E21" s="22"/>
      <c r="F21" s="22"/>
      <c r="G21" s="22"/>
      <c r="H21" s="24" t="s">
        <v>35</v>
      </c>
      <c r="I21" s="24"/>
      <c r="J21" s="24" t="s">
        <v>55</v>
      </c>
      <c r="K21" s="24"/>
      <c r="L21" s="55">
        <f>589999.96</f>
        <v>589999.96</v>
      </c>
      <c r="M21" s="55"/>
      <c r="N21" s="55">
        <f>295453.79</f>
        <v>295453.79</v>
      </c>
      <c r="O21" s="55"/>
      <c r="P21" s="55"/>
      <c r="Q21" s="55"/>
      <c r="R21" s="55"/>
      <c r="S21" s="57">
        <f>294546.17</f>
        <v>294546.17</v>
      </c>
      <c r="T21" s="57"/>
      <c r="U21" s="57"/>
    </row>
    <row r="22" spans="1:21" s="1" customFormat="1" ht="13.5" customHeight="1">
      <c r="A22" s="22" t="s">
        <v>56</v>
      </c>
      <c r="B22" s="22"/>
      <c r="C22" s="22"/>
      <c r="D22" s="22"/>
      <c r="E22" s="22"/>
      <c r="F22" s="22"/>
      <c r="G22" s="22"/>
      <c r="H22" s="24" t="s">
        <v>35</v>
      </c>
      <c r="I22" s="24"/>
      <c r="J22" s="24" t="s">
        <v>57</v>
      </c>
      <c r="K22" s="24"/>
      <c r="L22" s="55">
        <f>93713</f>
        <v>93713</v>
      </c>
      <c r="M22" s="55"/>
      <c r="N22" s="55">
        <f>45879.48</f>
        <v>45879.48</v>
      </c>
      <c r="O22" s="55"/>
      <c r="P22" s="55"/>
      <c r="Q22" s="55"/>
      <c r="R22" s="55"/>
      <c r="S22" s="57">
        <f>47833.52</f>
        <v>47833.52</v>
      </c>
      <c r="T22" s="57"/>
      <c r="U22" s="57"/>
    </row>
    <row r="23" spans="1:21" s="1" customFormat="1" ht="13.5" customHeight="1">
      <c r="A23" s="22" t="s">
        <v>58</v>
      </c>
      <c r="B23" s="22"/>
      <c r="C23" s="22"/>
      <c r="D23" s="22"/>
      <c r="E23" s="22"/>
      <c r="F23" s="22"/>
      <c r="G23" s="22"/>
      <c r="H23" s="24" t="s">
        <v>35</v>
      </c>
      <c r="I23" s="24"/>
      <c r="J23" s="24" t="s">
        <v>59</v>
      </c>
      <c r="K23" s="24"/>
      <c r="L23" s="55">
        <f>191917</f>
        <v>191917</v>
      </c>
      <c r="M23" s="55"/>
      <c r="N23" s="55">
        <f>44284.89</f>
        <v>44284.89</v>
      </c>
      <c r="O23" s="55"/>
      <c r="P23" s="55"/>
      <c r="Q23" s="55"/>
      <c r="R23" s="55"/>
      <c r="S23" s="57">
        <f>147632.11</f>
        <v>147632.11</v>
      </c>
      <c r="T23" s="57"/>
      <c r="U23" s="57"/>
    </row>
    <row r="24" spans="1:21" s="1" customFormat="1" ht="24" customHeight="1">
      <c r="A24" s="22" t="s">
        <v>60</v>
      </c>
      <c r="B24" s="22"/>
      <c r="C24" s="22"/>
      <c r="D24" s="22"/>
      <c r="E24" s="22"/>
      <c r="F24" s="22"/>
      <c r="G24" s="22"/>
      <c r="H24" s="24" t="s">
        <v>35</v>
      </c>
      <c r="I24" s="24"/>
      <c r="J24" s="24" t="s">
        <v>61</v>
      </c>
      <c r="K24" s="24"/>
      <c r="L24" s="55">
        <f>1850000</f>
        <v>1850000</v>
      </c>
      <c r="M24" s="55"/>
      <c r="N24" s="55">
        <f>681081.45</f>
        <v>681081.45</v>
      </c>
      <c r="O24" s="55"/>
      <c r="P24" s="55"/>
      <c r="Q24" s="55"/>
      <c r="R24" s="55"/>
      <c r="S24" s="57">
        <f>1168918.55</f>
        <v>1168918.55</v>
      </c>
      <c r="T24" s="57"/>
      <c r="U24" s="57"/>
    </row>
    <row r="25" spans="1:21" s="1" customFormat="1" ht="24" customHeight="1">
      <c r="A25" s="22" t="s">
        <v>62</v>
      </c>
      <c r="B25" s="22"/>
      <c r="C25" s="22"/>
      <c r="D25" s="22"/>
      <c r="E25" s="22"/>
      <c r="F25" s="22"/>
      <c r="G25" s="22"/>
      <c r="H25" s="24" t="s">
        <v>35</v>
      </c>
      <c r="I25" s="24"/>
      <c r="J25" s="24" t="s">
        <v>63</v>
      </c>
      <c r="K25" s="24"/>
      <c r="L25" s="55">
        <f>250000</f>
        <v>250000</v>
      </c>
      <c r="M25" s="55"/>
      <c r="N25" s="55">
        <f>30043.83</f>
        <v>30043.83</v>
      </c>
      <c r="O25" s="55"/>
      <c r="P25" s="55"/>
      <c r="Q25" s="55"/>
      <c r="R25" s="55"/>
      <c r="S25" s="57">
        <f>219956.17</f>
        <v>219956.17</v>
      </c>
      <c r="T25" s="57"/>
      <c r="U25" s="57"/>
    </row>
    <row r="26" spans="1:21" s="1" customFormat="1" ht="45" customHeight="1">
      <c r="A26" s="22" t="s">
        <v>64</v>
      </c>
      <c r="B26" s="22"/>
      <c r="C26" s="22"/>
      <c r="D26" s="22"/>
      <c r="E26" s="22"/>
      <c r="F26" s="22"/>
      <c r="G26" s="22"/>
      <c r="H26" s="24" t="s">
        <v>35</v>
      </c>
      <c r="I26" s="24"/>
      <c r="J26" s="24" t="s">
        <v>65</v>
      </c>
      <c r="K26" s="24"/>
      <c r="L26" s="55">
        <f>6350.7</f>
        <v>6350.7</v>
      </c>
      <c r="M26" s="55"/>
      <c r="N26" s="55">
        <f>2326.29</f>
        <v>2326.29</v>
      </c>
      <c r="O26" s="55"/>
      <c r="P26" s="55"/>
      <c r="Q26" s="55"/>
      <c r="R26" s="55"/>
      <c r="S26" s="57">
        <f>4024.41</f>
        <v>4024.41</v>
      </c>
      <c r="T26" s="57"/>
      <c r="U26" s="57"/>
    </row>
    <row r="27" spans="1:21" s="1" customFormat="1" ht="45" customHeight="1">
      <c r="A27" s="22" t="s">
        <v>66</v>
      </c>
      <c r="B27" s="22"/>
      <c r="C27" s="22"/>
      <c r="D27" s="22"/>
      <c r="E27" s="22"/>
      <c r="F27" s="22"/>
      <c r="G27" s="22"/>
      <c r="H27" s="24" t="s">
        <v>35</v>
      </c>
      <c r="I27" s="24"/>
      <c r="J27" s="24" t="s">
        <v>67</v>
      </c>
      <c r="K27" s="24"/>
      <c r="L27" s="55">
        <f>6210000</f>
        <v>6210000</v>
      </c>
      <c r="M27" s="55"/>
      <c r="N27" s="55">
        <f>2876434.04</f>
        <v>2876434.04</v>
      </c>
      <c r="O27" s="55"/>
      <c r="P27" s="55"/>
      <c r="Q27" s="55"/>
      <c r="R27" s="55"/>
      <c r="S27" s="57">
        <f>3333565.96</f>
        <v>3333565.96</v>
      </c>
      <c r="T27" s="57"/>
      <c r="U27" s="57"/>
    </row>
    <row r="28" spans="1:21" s="1" customFormat="1" ht="13.5" customHeight="1">
      <c r="A28" s="22" t="s">
        <v>68</v>
      </c>
      <c r="B28" s="22"/>
      <c r="C28" s="22"/>
      <c r="D28" s="22"/>
      <c r="E28" s="22"/>
      <c r="F28" s="22"/>
      <c r="G28" s="22"/>
      <c r="H28" s="24" t="s">
        <v>35</v>
      </c>
      <c r="I28" s="24"/>
      <c r="J28" s="24" t="s">
        <v>69</v>
      </c>
      <c r="K28" s="24"/>
      <c r="L28" s="55">
        <f>109508.13</f>
        <v>109508.13</v>
      </c>
      <c r="M28" s="55"/>
      <c r="N28" s="55">
        <f>191576.39</f>
        <v>191576.39</v>
      </c>
      <c r="O28" s="55"/>
      <c r="P28" s="55"/>
      <c r="Q28" s="55"/>
      <c r="R28" s="55"/>
      <c r="S28" s="56" t="s">
        <v>49</v>
      </c>
      <c r="T28" s="56"/>
      <c r="U28" s="56"/>
    </row>
    <row r="29" spans="1:21" s="1" customFormat="1" ht="13.5" customHeight="1">
      <c r="A29" s="22" t="s">
        <v>70</v>
      </c>
      <c r="B29" s="22"/>
      <c r="C29" s="22"/>
      <c r="D29" s="22"/>
      <c r="E29" s="22"/>
      <c r="F29" s="22"/>
      <c r="G29" s="22"/>
      <c r="H29" s="24" t="s">
        <v>35</v>
      </c>
      <c r="I29" s="24"/>
      <c r="J29" s="24" t="s">
        <v>71</v>
      </c>
      <c r="K29" s="24"/>
      <c r="L29" s="55">
        <f>5380000</f>
        <v>5380000</v>
      </c>
      <c r="M29" s="55"/>
      <c r="N29" s="55">
        <f>4096316.84</f>
        <v>4096316.84</v>
      </c>
      <c r="O29" s="55"/>
      <c r="P29" s="55"/>
      <c r="Q29" s="55"/>
      <c r="R29" s="55"/>
      <c r="S29" s="57">
        <f>1283683.16</f>
        <v>1283683.16</v>
      </c>
      <c r="T29" s="57"/>
      <c r="U29" s="57"/>
    </row>
    <row r="30" spans="1:21" s="1" customFormat="1" ht="45" customHeight="1">
      <c r="A30" s="22" t="s">
        <v>72</v>
      </c>
      <c r="B30" s="22"/>
      <c r="C30" s="22"/>
      <c r="D30" s="22"/>
      <c r="E30" s="22"/>
      <c r="F30" s="22"/>
      <c r="G30" s="22"/>
      <c r="H30" s="24" t="s">
        <v>35</v>
      </c>
      <c r="I30" s="24"/>
      <c r="J30" s="24" t="s">
        <v>73</v>
      </c>
      <c r="K30" s="24"/>
      <c r="L30" s="55">
        <f>45600</f>
        <v>45600</v>
      </c>
      <c r="M30" s="55"/>
      <c r="N30" s="55">
        <f>45600</f>
        <v>45600</v>
      </c>
      <c r="O30" s="55"/>
      <c r="P30" s="55"/>
      <c r="Q30" s="55"/>
      <c r="R30" s="55"/>
      <c r="S30" s="57">
        <f>0</f>
        <v>0</v>
      </c>
      <c r="T30" s="57"/>
      <c r="U30" s="57"/>
    </row>
    <row r="31" spans="1:21" s="1" customFormat="1" ht="13.5" customHeight="1">
      <c r="A31" s="22" t="s">
        <v>74</v>
      </c>
      <c r="B31" s="22"/>
      <c r="C31" s="22"/>
      <c r="D31" s="22"/>
      <c r="E31" s="22"/>
      <c r="F31" s="22"/>
      <c r="G31" s="22"/>
      <c r="H31" s="24" t="s">
        <v>35</v>
      </c>
      <c r="I31" s="24"/>
      <c r="J31" s="24" t="s">
        <v>75</v>
      </c>
      <c r="K31" s="24"/>
      <c r="L31" s="26" t="s">
        <v>49</v>
      </c>
      <c r="M31" s="26"/>
      <c r="N31" s="55">
        <f>0</f>
        <v>0</v>
      </c>
      <c r="O31" s="55"/>
      <c r="P31" s="55"/>
      <c r="Q31" s="55"/>
      <c r="R31" s="55"/>
      <c r="S31" s="56" t="s">
        <v>49</v>
      </c>
      <c r="T31" s="56"/>
      <c r="U31" s="56"/>
    </row>
    <row r="32" spans="1:21" s="1" customFormat="1" ht="24" customHeight="1">
      <c r="A32" s="22" t="s">
        <v>76</v>
      </c>
      <c r="B32" s="22"/>
      <c r="C32" s="22"/>
      <c r="D32" s="22"/>
      <c r="E32" s="22"/>
      <c r="F32" s="22"/>
      <c r="G32" s="22"/>
      <c r="H32" s="24" t="s">
        <v>35</v>
      </c>
      <c r="I32" s="24"/>
      <c r="J32" s="24" t="s">
        <v>77</v>
      </c>
      <c r="K32" s="24"/>
      <c r="L32" s="55">
        <f>66832100</f>
        <v>66832100</v>
      </c>
      <c r="M32" s="55"/>
      <c r="N32" s="55">
        <f>33416050</f>
        <v>33416050</v>
      </c>
      <c r="O32" s="55"/>
      <c r="P32" s="55"/>
      <c r="Q32" s="55"/>
      <c r="R32" s="55"/>
      <c r="S32" s="57">
        <f>33416050</f>
        <v>33416050</v>
      </c>
      <c r="T32" s="57"/>
      <c r="U32" s="57"/>
    </row>
    <row r="33" spans="1:21" s="1" customFormat="1" ht="13.5" customHeight="1">
      <c r="A33" s="22" t="s">
        <v>78</v>
      </c>
      <c r="B33" s="22"/>
      <c r="C33" s="22"/>
      <c r="D33" s="22"/>
      <c r="E33" s="22"/>
      <c r="F33" s="22"/>
      <c r="G33" s="22"/>
      <c r="H33" s="24" t="s">
        <v>35</v>
      </c>
      <c r="I33" s="24"/>
      <c r="J33" s="24" t="s">
        <v>79</v>
      </c>
      <c r="K33" s="24"/>
      <c r="L33" s="55">
        <f>8307100</f>
        <v>8307100</v>
      </c>
      <c r="M33" s="55"/>
      <c r="N33" s="55">
        <f>1024088.38</f>
        <v>1024088.38</v>
      </c>
      <c r="O33" s="55"/>
      <c r="P33" s="55"/>
      <c r="Q33" s="55"/>
      <c r="R33" s="55"/>
      <c r="S33" s="57">
        <f>7283011.62</f>
        <v>7283011.62</v>
      </c>
      <c r="T33" s="57"/>
      <c r="U33" s="57"/>
    </row>
    <row r="34" spans="1:21" s="1" customFormat="1" ht="24" customHeight="1">
      <c r="A34" s="22" t="s">
        <v>80</v>
      </c>
      <c r="B34" s="22"/>
      <c r="C34" s="22"/>
      <c r="D34" s="22"/>
      <c r="E34" s="22"/>
      <c r="F34" s="22"/>
      <c r="G34" s="22"/>
      <c r="H34" s="24" t="s">
        <v>35</v>
      </c>
      <c r="I34" s="24"/>
      <c r="J34" s="24" t="s">
        <v>81</v>
      </c>
      <c r="K34" s="24"/>
      <c r="L34" s="55">
        <f>43274.25</f>
        <v>43274.25</v>
      </c>
      <c r="M34" s="55"/>
      <c r="N34" s="26" t="s">
        <v>49</v>
      </c>
      <c r="O34" s="26"/>
      <c r="P34" s="26"/>
      <c r="Q34" s="26"/>
      <c r="R34" s="26"/>
      <c r="S34" s="57">
        <f>43274.25</f>
        <v>43274.25</v>
      </c>
      <c r="T34" s="57"/>
      <c r="U34" s="57"/>
    </row>
    <row r="35" spans="1:21" s="1" customFormat="1" ht="33.75" customHeight="1">
      <c r="A35" s="22" t="s">
        <v>82</v>
      </c>
      <c r="B35" s="22"/>
      <c r="C35" s="22"/>
      <c r="D35" s="22"/>
      <c r="E35" s="22"/>
      <c r="F35" s="22"/>
      <c r="G35" s="22"/>
      <c r="H35" s="24" t="s">
        <v>35</v>
      </c>
      <c r="I35" s="24"/>
      <c r="J35" s="24" t="s">
        <v>83</v>
      </c>
      <c r="K35" s="24"/>
      <c r="L35" s="55">
        <f>493800</f>
        <v>493800</v>
      </c>
      <c r="M35" s="55"/>
      <c r="N35" s="55">
        <f>257622.72</f>
        <v>257622.72</v>
      </c>
      <c r="O35" s="55"/>
      <c r="P35" s="55"/>
      <c r="Q35" s="55"/>
      <c r="R35" s="55"/>
      <c r="S35" s="57">
        <f>236177.28</f>
        <v>236177.28</v>
      </c>
      <c r="T35" s="57"/>
      <c r="U35" s="57"/>
    </row>
    <row r="36" spans="1:21" s="1" customFormat="1" ht="24" customHeight="1">
      <c r="A36" s="22" t="s">
        <v>84</v>
      </c>
      <c r="B36" s="22"/>
      <c r="C36" s="22"/>
      <c r="D36" s="22"/>
      <c r="E36" s="22"/>
      <c r="F36" s="22"/>
      <c r="G36" s="22"/>
      <c r="H36" s="24" t="s">
        <v>35</v>
      </c>
      <c r="I36" s="24"/>
      <c r="J36" s="24" t="s">
        <v>85</v>
      </c>
      <c r="K36" s="24"/>
      <c r="L36" s="55">
        <f>156000</f>
        <v>156000</v>
      </c>
      <c r="M36" s="55"/>
      <c r="N36" s="55">
        <f>85164</f>
        <v>85164</v>
      </c>
      <c r="O36" s="55"/>
      <c r="P36" s="55"/>
      <c r="Q36" s="55"/>
      <c r="R36" s="55"/>
      <c r="S36" s="57">
        <f>70836</f>
        <v>70836</v>
      </c>
      <c r="T36" s="57"/>
      <c r="U36" s="57"/>
    </row>
    <row r="37" spans="1:21" s="1" customFormat="1" ht="45" customHeight="1">
      <c r="A37" s="22" t="s">
        <v>86</v>
      </c>
      <c r="B37" s="22"/>
      <c r="C37" s="22"/>
      <c r="D37" s="22"/>
      <c r="E37" s="22"/>
      <c r="F37" s="22"/>
      <c r="G37" s="22"/>
      <c r="H37" s="24" t="s">
        <v>35</v>
      </c>
      <c r="I37" s="24"/>
      <c r="J37" s="24" t="s">
        <v>87</v>
      </c>
      <c r="K37" s="24"/>
      <c r="L37" s="55">
        <f>908208</f>
        <v>908208</v>
      </c>
      <c r="M37" s="55"/>
      <c r="N37" s="55">
        <f>454104</f>
        <v>454104</v>
      </c>
      <c r="O37" s="55"/>
      <c r="P37" s="55"/>
      <c r="Q37" s="55"/>
      <c r="R37" s="55"/>
      <c r="S37" s="57">
        <f>454104</f>
        <v>454104</v>
      </c>
      <c r="T37" s="57"/>
      <c r="U37" s="57"/>
    </row>
    <row r="38" spans="1:21" s="1" customFormat="1" ht="24" customHeight="1">
      <c r="A38" s="22" t="s">
        <v>88</v>
      </c>
      <c r="B38" s="22"/>
      <c r="C38" s="22"/>
      <c r="D38" s="22"/>
      <c r="E38" s="22"/>
      <c r="F38" s="22"/>
      <c r="G38" s="22"/>
      <c r="H38" s="24" t="s">
        <v>35</v>
      </c>
      <c r="I38" s="24"/>
      <c r="J38" s="24" t="s">
        <v>89</v>
      </c>
      <c r="K38" s="24"/>
      <c r="L38" s="55">
        <f>13904598.98</f>
        <v>13904598.98</v>
      </c>
      <c r="M38" s="55"/>
      <c r="N38" s="55">
        <f>6801060.85</f>
        <v>6801060.85</v>
      </c>
      <c r="O38" s="55"/>
      <c r="P38" s="55"/>
      <c r="Q38" s="55"/>
      <c r="R38" s="55"/>
      <c r="S38" s="57">
        <f>7103538.13</f>
        <v>7103538.13</v>
      </c>
      <c r="T38" s="57"/>
      <c r="U38" s="57"/>
    </row>
    <row r="39" spans="1:21" s="1" customFormat="1" ht="54.75" customHeight="1">
      <c r="A39" s="22" t="s">
        <v>90</v>
      </c>
      <c r="B39" s="22"/>
      <c r="C39" s="22"/>
      <c r="D39" s="22"/>
      <c r="E39" s="22"/>
      <c r="F39" s="22"/>
      <c r="G39" s="22"/>
      <c r="H39" s="24" t="s">
        <v>35</v>
      </c>
      <c r="I39" s="24"/>
      <c r="J39" s="24" t="s">
        <v>91</v>
      </c>
      <c r="K39" s="24"/>
      <c r="L39" s="26" t="s">
        <v>49</v>
      </c>
      <c r="M39" s="26"/>
      <c r="N39" s="55">
        <f>0</f>
        <v>0</v>
      </c>
      <c r="O39" s="55"/>
      <c r="P39" s="55"/>
      <c r="Q39" s="55"/>
      <c r="R39" s="55"/>
      <c r="S39" s="56" t="s">
        <v>49</v>
      </c>
      <c r="T39" s="56"/>
      <c r="U39" s="56"/>
    </row>
    <row r="40" spans="1:21" s="1" customFormat="1" ht="13.5" customHeight="1">
      <c r="A40" s="54" t="s">
        <v>10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</row>
    <row r="41" spans="1:21" s="1" customFormat="1" ht="13.5" customHeight="1">
      <c r="A41" s="38" t="s">
        <v>92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</row>
    <row r="42" spans="1:21" s="1" customFormat="1" ht="34.5" customHeight="1">
      <c r="A42" s="39" t="s">
        <v>22</v>
      </c>
      <c r="B42" s="39"/>
      <c r="C42" s="39"/>
      <c r="D42" s="39"/>
      <c r="E42" s="39"/>
      <c r="F42" s="39"/>
      <c r="G42" s="39" t="s">
        <v>23</v>
      </c>
      <c r="H42" s="39"/>
      <c r="I42" s="39" t="s">
        <v>93</v>
      </c>
      <c r="J42" s="39"/>
      <c r="K42" s="40" t="s">
        <v>94</v>
      </c>
      <c r="L42" s="40"/>
      <c r="M42" s="40" t="s">
        <v>25</v>
      </c>
      <c r="N42" s="40"/>
      <c r="O42" s="40" t="s">
        <v>26</v>
      </c>
      <c r="P42" s="40"/>
      <c r="Q42" s="40"/>
      <c r="R42" s="40"/>
      <c r="S42" s="40"/>
      <c r="T42" s="41" t="s">
        <v>27</v>
      </c>
      <c r="U42" s="41"/>
    </row>
    <row r="43" spans="1:21" s="1" customFormat="1" ht="13.5" customHeight="1">
      <c r="A43" s="35" t="s">
        <v>28</v>
      </c>
      <c r="B43" s="35"/>
      <c r="C43" s="35"/>
      <c r="D43" s="35"/>
      <c r="E43" s="35"/>
      <c r="F43" s="35"/>
      <c r="G43" s="35" t="s">
        <v>29</v>
      </c>
      <c r="H43" s="35"/>
      <c r="I43" s="35" t="s">
        <v>30</v>
      </c>
      <c r="J43" s="35"/>
      <c r="K43" s="36" t="s">
        <v>31</v>
      </c>
      <c r="L43" s="36"/>
      <c r="M43" s="36" t="s">
        <v>32</v>
      </c>
      <c r="N43" s="36"/>
      <c r="O43" s="36" t="s">
        <v>33</v>
      </c>
      <c r="P43" s="36"/>
      <c r="Q43" s="36"/>
      <c r="R43" s="36"/>
      <c r="S43" s="36"/>
      <c r="T43" s="37" t="s">
        <v>95</v>
      </c>
      <c r="U43" s="37"/>
    </row>
    <row r="44" spans="1:21" s="1" customFormat="1" ht="13.5" customHeight="1">
      <c r="A44" s="30" t="s">
        <v>96</v>
      </c>
      <c r="B44" s="30"/>
      <c r="C44" s="30"/>
      <c r="D44" s="30"/>
      <c r="E44" s="30"/>
      <c r="F44" s="30"/>
      <c r="G44" s="31" t="s">
        <v>97</v>
      </c>
      <c r="H44" s="31"/>
      <c r="I44" s="31" t="s">
        <v>36</v>
      </c>
      <c r="J44" s="31"/>
      <c r="K44" s="51" t="s">
        <v>36</v>
      </c>
      <c r="L44" s="51"/>
      <c r="M44" s="52">
        <f>146028338.15</f>
        <v>146028338.15</v>
      </c>
      <c r="N44" s="52"/>
      <c r="O44" s="52">
        <f>65685550.89</f>
        <v>65685550.89</v>
      </c>
      <c r="P44" s="52"/>
      <c r="Q44" s="52"/>
      <c r="R44" s="52"/>
      <c r="S44" s="52"/>
      <c r="T44" s="53">
        <f>80342787.26</f>
        <v>80342787.26</v>
      </c>
      <c r="U44" s="53"/>
    </row>
    <row r="45" spans="1:21" s="1" customFormat="1" ht="13.5" customHeight="1">
      <c r="A45" s="11" t="s">
        <v>98</v>
      </c>
      <c r="B45" s="11"/>
      <c r="C45" s="11"/>
      <c r="D45" s="11"/>
      <c r="E45" s="11"/>
      <c r="F45" s="11"/>
      <c r="G45" s="12" t="s">
        <v>97</v>
      </c>
      <c r="H45" s="12"/>
      <c r="I45" s="12" t="s">
        <v>99</v>
      </c>
      <c r="J45" s="12"/>
      <c r="K45" s="48" t="s">
        <v>100</v>
      </c>
      <c r="L45" s="48"/>
      <c r="M45" s="49">
        <f>1464300</f>
        <v>1464300</v>
      </c>
      <c r="N45" s="49"/>
      <c r="O45" s="49">
        <f>993476.46</f>
        <v>993476.46</v>
      </c>
      <c r="P45" s="49"/>
      <c r="Q45" s="49"/>
      <c r="R45" s="49"/>
      <c r="S45" s="49"/>
      <c r="T45" s="42">
        <f>470823.54</f>
        <v>470823.54</v>
      </c>
      <c r="U45" s="42"/>
    </row>
    <row r="46" spans="1:21" s="1" customFormat="1" ht="13.5" customHeight="1">
      <c r="A46" s="11" t="s">
        <v>101</v>
      </c>
      <c r="B46" s="11"/>
      <c r="C46" s="11"/>
      <c r="D46" s="11"/>
      <c r="E46" s="11"/>
      <c r="F46" s="11"/>
      <c r="G46" s="12" t="s">
        <v>97</v>
      </c>
      <c r="H46" s="12"/>
      <c r="I46" s="12" t="s">
        <v>102</v>
      </c>
      <c r="J46" s="12"/>
      <c r="K46" s="48" t="s">
        <v>103</v>
      </c>
      <c r="L46" s="48"/>
      <c r="M46" s="49">
        <f>442200</f>
        <v>442200</v>
      </c>
      <c r="N46" s="49"/>
      <c r="O46" s="49">
        <f>181259.58</f>
        <v>181259.58</v>
      </c>
      <c r="P46" s="49"/>
      <c r="Q46" s="49"/>
      <c r="R46" s="49"/>
      <c r="S46" s="49"/>
      <c r="T46" s="42">
        <f>260940.42</f>
        <v>260940.42</v>
      </c>
      <c r="U46" s="42"/>
    </row>
    <row r="47" spans="1:21" s="1" customFormat="1" ht="13.5" customHeight="1">
      <c r="A47" s="11" t="s">
        <v>98</v>
      </c>
      <c r="B47" s="11"/>
      <c r="C47" s="11"/>
      <c r="D47" s="11"/>
      <c r="E47" s="11"/>
      <c r="F47" s="11"/>
      <c r="G47" s="12" t="s">
        <v>97</v>
      </c>
      <c r="H47" s="12"/>
      <c r="I47" s="12" t="s">
        <v>104</v>
      </c>
      <c r="J47" s="12"/>
      <c r="K47" s="48" t="s">
        <v>100</v>
      </c>
      <c r="L47" s="48"/>
      <c r="M47" s="49">
        <f>13100000</f>
        <v>13100000</v>
      </c>
      <c r="N47" s="49"/>
      <c r="O47" s="49">
        <f>7140115.69</f>
        <v>7140115.69</v>
      </c>
      <c r="P47" s="49"/>
      <c r="Q47" s="49"/>
      <c r="R47" s="49"/>
      <c r="S47" s="49"/>
      <c r="T47" s="42">
        <f>5959884.31</f>
        <v>5959884.31</v>
      </c>
      <c r="U47" s="42"/>
    </row>
    <row r="48" spans="1:21" s="1" customFormat="1" ht="13.5" customHeight="1">
      <c r="A48" s="11" t="s">
        <v>105</v>
      </c>
      <c r="B48" s="11"/>
      <c r="C48" s="11"/>
      <c r="D48" s="11"/>
      <c r="E48" s="11"/>
      <c r="F48" s="11"/>
      <c r="G48" s="12" t="s">
        <v>97</v>
      </c>
      <c r="H48" s="12"/>
      <c r="I48" s="12" t="s">
        <v>104</v>
      </c>
      <c r="J48" s="12"/>
      <c r="K48" s="48" t="s">
        <v>106</v>
      </c>
      <c r="L48" s="48"/>
      <c r="M48" s="49">
        <f>70000</f>
        <v>70000</v>
      </c>
      <c r="N48" s="49"/>
      <c r="O48" s="49">
        <f>35173.98</f>
        <v>35173.98</v>
      </c>
      <c r="P48" s="49"/>
      <c r="Q48" s="49"/>
      <c r="R48" s="49"/>
      <c r="S48" s="49"/>
      <c r="T48" s="42">
        <f>34826.02</f>
        <v>34826.02</v>
      </c>
      <c r="U48" s="42"/>
    </row>
    <row r="49" spans="1:21" s="1" customFormat="1" ht="13.5" customHeight="1">
      <c r="A49" s="11" t="s">
        <v>101</v>
      </c>
      <c r="B49" s="11"/>
      <c r="C49" s="11"/>
      <c r="D49" s="11"/>
      <c r="E49" s="11"/>
      <c r="F49" s="11"/>
      <c r="G49" s="12" t="s">
        <v>97</v>
      </c>
      <c r="H49" s="12"/>
      <c r="I49" s="12" t="s">
        <v>107</v>
      </c>
      <c r="J49" s="12"/>
      <c r="K49" s="48" t="s">
        <v>103</v>
      </c>
      <c r="L49" s="48"/>
      <c r="M49" s="49">
        <f>3956200</f>
        <v>3956200</v>
      </c>
      <c r="N49" s="49"/>
      <c r="O49" s="49">
        <f>1777347.21</f>
        <v>1777347.21</v>
      </c>
      <c r="P49" s="49"/>
      <c r="Q49" s="49"/>
      <c r="R49" s="49"/>
      <c r="S49" s="49"/>
      <c r="T49" s="42">
        <f>2178852.79</f>
        <v>2178852.79</v>
      </c>
      <c r="U49" s="42"/>
    </row>
    <row r="50" spans="1:21" s="1" customFormat="1" ht="13.5" customHeight="1">
      <c r="A50" s="11" t="s">
        <v>98</v>
      </c>
      <c r="B50" s="11"/>
      <c r="C50" s="11"/>
      <c r="D50" s="11"/>
      <c r="E50" s="11"/>
      <c r="F50" s="11"/>
      <c r="G50" s="12" t="s">
        <v>97</v>
      </c>
      <c r="H50" s="12"/>
      <c r="I50" s="12" t="s">
        <v>108</v>
      </c>
      <c r="J50" s="12"/>
      <c r="K50" s="48" t="s">
        <v>100</v>
      </c>
      <c r="L50" s="48"/>
      <c r="M50" s="49">
        <f>5100000</f>
        <v>5100000</v>
      </c>
      <c r="N50" s="49"/>
      <c r="O50" s="49">
        <f>2321767.78</f>
        <v>2321767.78</v>
      </c>
      <c r="P50" s="49"/>
      <c r="Q50" s="49"/>
      <c r="R50" s="49"/>
      <c r="S50" s="49"/>
      <c r="T50" s="42">
        <f>2778232.22</f>
        <v>2778232.22</v>
      </c>
      <c r="U50" s="42"/>
    </row>
    <row r="51" spans="1:21" s="1" customFormat="1" ht="13.5" customHeight="1">
      <c r="A51" s="11" t="s">
        <v>105</v>
      </c>
      <c r="B51" s="11"/>
      <c r="C51" s="11"/>
      <c r="D51" s="11"/>
      <c r="E51" s="11"/>
      <c r="F51" s="11"/>
      <c r="G51" s="12" t="s">
        <v>97</v>
      </c>
      <c r="H51" s="12"/>
      <c r="I51" s="12" t="s">
        <v>108</v>
      </c>
      <c r="J51" s="12"/>
      <c r="K51" s="48" t="s">
        <v>106</v>
      </c>
      <c r="L51" s="48"/>
      <c r="M51" s="49">
        <f>60000</f>
        <v>60000</v>
      </c>
      <c r="N51" s="49"/>
      <c r="O51" s="49">
        <f>6051.51</f>
        <v>6051.51</v>
      </c>
      <c r="P51" s="49"/>
      <c r="Q51" s="49"/>
      <c r="R51" s="49"/>
      <c r="S51" s="49"/>
      <c r="T51" s="42">
        <f>53948.49</f>
        <v>53948.49</v>
      </c>
      <c r="U51" s="42"/>
    </row>
    <row r="52" spans="1:21" s="1" customFormat="1" ht="13.5" customHeight="1">
      <c r="A52" s="11" t="s">
        <v>101</v>
      </c>
      <c r="B52" s="11"/>
      <c r="C52" s="11"/>
      <c r="D52" s="11"/>
      <c r="E52" s="11"/>
      <c r="F52" s="11"/>
      <c r="G52" s="12" t="s">
        <v>97</v>
      </c>
      <c r="H52" s="12"/>
      <c r="I52" s="12" t="s">
        <v>109</v>
      </c>
      <c r="J52" s="12"/>
      <c r="K52" s="48" t="s">
        <v>103</v>
      </c>
      <c r="L52" s="48"/>
      <c r="M52" s="49">
        <f>1540000</f>
        <v>1540000</v>
      </c>
      <c r="N52" s="49"/>
      <c r="O52" s="49">
        <f>571374.49</f>
        <v>571374.49</v>
      </c>
      <c r="P52" s="49"/>
      <c r="Q52" s="49"/>
      <c r="R52" s="49"/>
      <c r="S52" s="49"/>
      <c r="T52" s="42">
        <f>968625.51</f>
        <v>968625.51</v>
      </c>
      <c r="U52" s="42"/>
    </row>
    <row r="53" spans="1:21" s="1" customFormat="1" ht="13.5" customHeight="1">
      <c r="A53" s="11" t="s">
        <v>110</v>
      </c>
      <c r="B53" s="11"/>
      <c r="C53" s="11"/>
      <c r="D53" s="11"/>
      <c r="E53" s="11"/>
      <c r="F53" s="11"/>
      <c r="G53" s="12" t="s">
        <v>97</v>
      </c>
      <c r="H53" s="12"/>
      <c r="I53" s="12" t="s">
        <v>111</v>
      </c>
      <c r="J53" s="12"/>
      <c r="K53" s="48" t="s">
        <v>112</v>
      </c>
      <c r="L53" s="48"/>
      <c r="M53" s="49">
        <f>10000</f>
        <v>10000</v>
      </c>
      <c r="N53" s="49"/>
      <c r="O53" s="14" t="s">
        <v>49</v>
      </c>
      <c r="P53" s="14"/>
      <c r="Q53" s="14"/>
      <c r="R53" s="14"/>
      <c r="S53" s="14"/>
      <c r="T53" s="42">
        <f>10000</f>
        <v>10000</v>
      </c>
      <c r="U53" s="42"/>
    </row>
    <row r="54" spans="1:21" s="1" customFormat="1" ht="13.5" customHeight="1">
      <c r="A54" s="11" t="s">
        <v>113</v>
      </c>
      <c r="B54" s="11"/>
      <c r="C54" s="11"/>
      <c r="D54" s="11"/>
      <c r="E54" s="11"/>
      <c r="F54" s="11"/>
      <c r="G54" s="12" t="s">
        <v>97</v>
      </c>
      <c r="H54" s="12"/>
      <c r="I54" s="12" t="s">
        <v>111</v>
      </c>
      <c r="J54" s="12"/>
      <c r="K54" s="48" t="s">
        <v>114</v>
      </c>
      <c r="L54" s="48"/>
      <c r="M54" s="49">
        <f>700000</f>
        <v>700000</v>
      </c>
      <c r="N54" s="49"/>
      <c r="O54" s="49">
        <f>64243.74</f>
        <v>64243.74</v>
      </c>
      <c r="P54" s="49"/>
      <c r="Q54" s="49"/>
      <c r="R54" s="49"/>
      <c r="S54" s="49"/>
      <c r="T54" s="42">
        <f>635756.26</f>
        <v>635756.26</v>
      </c>
      <c r="U54" s="42"/>
    </row>
    <row r="55" spans="1:21" s="1" customFormat="1" ht="13.5" customHeight="1">
      <c r="A55" s="11" t="s">
        <v>115</v>
      </c>
      <c r="B55" s="11"/>
      <c r="C55" s="11"/>
      <c r="D55" s="11"/>
      <c r="E55" s="11"/>
      <c r="F55" s="11"/>
      <c r="G55" s="12" t="s">
        <v>97</v>
      </c>
      <c r="H55" s="12"/>
      <c r="I55" s="12" t="s">
        <v>111</v>
      </c>
      <c r="J55" s="12"/>
      <c r="K55" s="48" t="s">
        <v>116</v>
      </c>
      <c r="L55" s="48"/>
      <c r="M55" s="49">
        <f>10000</f>
        <v>10000</v>
      </c>
      <c r="N55" s="49"/>
      <c r="O55" s="49">
        <f>2419.83</f>
        <v>2419.83</v>
      </c>
      <c r="P55" s="49"/>
      <c r="Q55" s="49"/>
      <c r="R55" s="49"/>
      <c r="S55" s="49"/>
      <c r="T55" s="42">
        <f>7580.17</f>
        <v>7580.17</v>
      </c>
      <c r="U55" s="42"/>
    </row>
    <row r="56" spans="1:21" s="1" customFormat="1" ht="13.5" customHeight="1">
      <c r="A56" s="11" t="s">
        <v>117</v>
      </c>
      <c r="B56" s="11"/>
      <c r="C56" s="11"/>
      <c r="D56" s="11"/>
      <c r="E56" s="11"/>
      <c r="F56" s="11"/>
      <c r="G56" s="12" t="s">
        <v>97</v>
      </c>
      <c r="H56" s="12"/>
      <c r="I56" s="12" t="s">
        <v>111</v>
      </c>
      <c r="J56" s="12"/>
      <c r="K56" s="48" t="s">
        <v>118</v>
      </c>
      <c r="L56" s="48"/>
      <c r="M56" s="49">
        <f>10000</f>
        <v>10000</v>
      </c>
      <c r="N56" s="49"/>
      <c r="O56" s="14" t="s">
        <v>49</v>
      </c>
      <c r="P56" s="14"/>
      <c r="Q56" s="14"/>
      <c r="R56" s="14"/>
      <c r="S56" s="14"/>
      <c r="T56" s="42">
        <f>10000</f>
        <v>10000</v>
      </c>
      <c r="U56" s="42"/>
    </row>
    <row r="57" spans="1:21" s="1" customFormat="1" ht="13.5" customHeight="1">
      <c r="A57" s="11" t="s">
        <v>119</v>
      </c>
      <c r="B57" s="11"/>
      <c r="C57" s="11"/>
      <c r="D57" s="11"/>
      <c r="E57" s="11"/>
      <c r="F57" s="11"/>
      <c r="G57" s="12" t="s">
        <v>97</v>
      </c>
      <c r="H57" s="12"/>
      <c r="I57" s="12" t="s">
        <v>111</v>
      </c>
      <c r="J57" s="12"/>
      <c r="K57" s="48" t="s">
        <v>120</v>
      </c>
      <c r="L57" s="48"/>
      <c r="M57" s="49">
        <f>150000</f>
        <v>150000</v>
      </c>
      <c r="N57" s="49"/>
      <c r="O57" s="14" t="s">
        <v>49</v>
      </c>
      <c r="P57" s="14"/>
      <c r="Q57" s="14"/>
      <c r="R57" s="14"/>
      <c r="S57" s="14"/>
      <c r="T57" s="42">
        <f>150000</f>
        <v>150000</v>
      </c>
      <c r="U57" s="42"/>
    </row>
    <row r="58" spans="1:21" s="1" customFormat="1" ht="24" customHeight="1">
      <c r="A58" s="11" t="s">
        <v>121</v>
      </c>
      <c r="B58" s="11"/>
      <c r="C58" s="11"/>
      <c r="D58" s="11"/>
      <c r="E58" s="11"/>
      <c r="F58" s="11"/>
      <c r="G58" s="12" t="s">
        <v>97</v>
      </c>
      <c r="H58" s="12"/>
      <c r="I58" s="12" t="s">
        <v>122</v>
      </c>
      <c r="J58" s="12"/>
      <c r="K58" s="48" t="s">
        <v>123</v>
      </c>
      <c r="L58" s="48"/>
      <c r="M58" s="49">
        <f>50745</f>
        <v>50745</v>
      </c>
      <c r="N58" s="49"/>
      <c r="O58" s="49">
        <f>50745</f>
        <v>50745</v>
      </c>
      <c r="P58" s="49"/>
      <c r="Q58" s="49"/>
      <c r="R58" s="49"/>
      <c r="S58" s="49"/>
      <c r="T58" s="42">
        <f>0</f>
        <v>0</v>
      </c>
      <c r="U58" s="42"/>
    </row>
    <row r="59" spans="1:21" s="1" customFormat="1" ht="13.5" customHeight="1">
      <c r="A59" s="11" t="s">
        <v>124</v>
      </c>
      <c r="B59" s="11"/>
      <c r="C59" s="11"/>
      <c r="D59" s="11"/>
      <c r="E59" s="11"/>
      <c r="F59" s="11"/>
      <c r="G59" s="12" t="s">
        <v>97</v>
      </c>
      <c r="H59" s="12"/>
      <c r="I59" s="12" t="s">
        <v>125</v>
      </c>
      <c r="J59" s="12"/>
      <c r="K59" s="48" t="s">
        <v>126</v>
      </c>
      <c r="L59" s="48"/>
      <c r="M59" s="49">
        <f>100000</f>
        <v>100000</v>
      </c>
      <c r="N59" s="49"/>
      <c r="O59" s="49">
        <f>39498</f>
        <v>39498</v>
      </c>
      <c r="P59" s="49"/>
      <c r="Q59" s="49"/>
      <c r="R59" s="49"/>
      <c r="S59" s="49"/>
      <c r="T59" s="42">
        <f>60502</f>
        <v>60502</v>
      </c>
      <c r="U59" s="42"/>
    </row>
    <row r="60" spans="1:21" s="1" customFormat="1" ht="13.5" customHeight="1">
      <c r="A60" s="11" t="s">
        <v>127</v>
      </c>
      <c r="B60" s="11"/>
      <c r="C60" s="11"/>
      <c r="D60" s="11"/>
      <c r="E60" s="11"/>
      <c r="F60" s="11"/>
      <c r="G60" s="12" t="s">
        <v>97</v>
      </c>
      <c r="H60" s="12"/>
      <c r="I60" s="12" t="s">
        <v>125</v>
      </c>
      <c r="J60" s="12"/>
      <c r="K60" s="48" t="s">
        <v>128</v>
      </c>
      <c r="L60" s="48"/>
      <c r="M60" s="49">
        <f>65000</f>
        <v>65000</v>
      </c>
      <c r="N60" s="49"/>
      <c r="O60" s="49">
        <f>17638.05</f>
        <v>17638.05</v>
      </c>
      <c r="P60" s="49"/>
      <c r="Q60" s="49"/>
      <c r="R60" s="49"/>
      <c r="S60" s="49"/>
      <c r="T60" s="42">
        <f>47361.95</f>
        <v>47361.95</v>
      </c>
      <c r="U60" s="42"/>
    </row>
    <row r="61" spans="1:21" s="1" customFormat="1" ht="13.5" customHeight="1">
      <c r="A61" s="11" t="s">
        <v>129</v>
      </c>
      <c r="B61" s="11"/>
      <c r="C61" s="11"/>
      <c r="D61" s="11"/>
      <c r="E61" s="11"/>
      <c r="F61" s="11"/>
      <c r="G61" s="12" t="s">
        <v>97</v>
      </c>
      <c r="H61" s="12"/>
      <c r="I61" s="12" t="s">
        <v>125</v>
      </c>
      <c r="J61" s="12"/>
      <c r="K61" s="48" t="s">
        <v>130</v>
      </c>
      <c r="L61" s="48"/>
      <c r="M61" s="49">
        <f>1320000</f>
        <v>1320000</v>
      </c>
      <c r="N61" s="49"/>
      <c r="O61" s="49">
        <f>458545.79</f>
        <v>458545.79</v>
      </c>
      <c r="P61" s="49"/>
      <c r="Q61" s="49"/>
      <c r="R61" s="49"/>
      <c r="S61" s="49"/>
      <c r="T61" s="42">
        <f>861454.21</f>
        <v>861454.21</v>
      </c>
      <c r="U61" s="42"/>
    </row>
    <row r="62" spans="1:21" s="1" customFormat="1" ht="13.5" customHeight="1">
      <c r="A62" s="11" t="s">
        <v>117</v>
      </c>
      <c r="B62" s="11"/>
      <c r="C62" s="11"/>
      <c r="D62" s="11"/>
      <c r="E62" s="11"/>
      <c r="F62" s="11"/>
      <c r="G62" s="12" t="s">
        <v>97</v>
      </c>
      <c r="H62" s="12"/>
      <c r="I62" s="12" t="s">
        <v>125</v>
      </c>
      <c r="J62" s="12"/>
      <c r="K62" s="48" t="s">
        <v>118</v>
      </c>
      <c r="L62" s="48"/>
      <c r="M62" s="49">
        <f>958000</f>
        <v>958000</v>
      </c>
      <c r="N62" s="49"/>
      <c r="O62" s="49">
        <f>505103.63</f>
        <v>505103.63</v>
      </c>
      <c r="P62" s="49"/>
      <c r="Q62" s="49"/>
      <c r="R62" s="49"/>
      <c r="S62" s="49"/>
      <c r="T62" s="42">
        <f>452896.37</f>
        <v>452896.37</v>
      </c>
      <c r="U62" s="42"/>
    </row>
    <row r="63" spans="1:21" s="1" customFormat="1" ht="13.5" customHeight="1">
      <c r="A63" s="11" t="s">
        <v>131</v>
      </c>
      <c r="B63" s="11"/>
      <c r="C63" s="11"/>
      <c r="D63" s="11"/>
      <c r="E63" s="11"/>
      <c r="F63" s="11"/>
      <c r="G63" s="12" t="s">
        <v>97</v>
      </c>
      <c r="H63" s="12"/>
      <c r="I63" s="12" t="s">
        <v>125</v>
      </c>
      <c r="J63" s="12"/>
      <c r="K63" s="48" t="s">
        <v>132</v>
      </c>
      <c r="L63" s="48"/>
      <c r="M63" s="49">
        <f>5000</f>
        <v>5000</v>
      </c>
      <c r="N63" s="49"/>
      <c r="O63" s="14" t="s">
        <v>49</v>
      </c>
      <c r="P63" s="14"/>
      <c r="Q63" s="14"/>
      <c r="R63" s="14"/>
      <c r="S63" s="14"/>
      <c r="T63" s="42">
        <f>5000</f>
        <v>5000</v>
      </c>
      <c r="U63" s="42"/>
    </row>
    <row r="64" spans="1:21" s="1" customFormat="1" ht="13.5" customHeight="1">
      <c r="A64" s="11" t="s">
        <v>133</v>
      </c>
      <c r="B64" s="11"/>
      <c r="C64" s="11"/>
      <c r="D64" s="11"/>
      <c r="E64" s="11"/>
      <c r="F64" s="11"/>
      <c r="G64" s="12" t="s">
        <v>97</v>
      </c>
      <c r="H64" s="12"/>
      <c r="I64" s="12" t="s">
        <v>125</v>
      </c>
      <c r="J64" s="12"/>
      <c r="K64" s="48" t="s">
        <v>134</v>
      </c>
      <c r="L64" s="48"/>
      <c r="M64" s="49">
        <f>500000</f>
        <v>500000</v>
      </c>
      <c r="N64" s="49"/>
      <c r="O64" s="49">
        <f>291574.25</f>
        <v>291574.25</v>
      </c>
      <c r="P64" s="49"/>
      <c r="Q64" s="49"/>
      <c r="R64" s="49"/>
      <c r="S64" s="49"/>
      <c r="T64" s="42">
        <f>208425.75</f>
        <v>208425.75</v>
      </c>
      <c r="U64" s="42"/>
    </row>
    <row r="65" spans="1:21" s="1" customFormat="1" ht="13.5" customHeight="1">
      <c r="A65" s="11" t="s">
        <v>135</v>
      </c>
      <c r="B65" s="11"/>
      <c r="C65" s="11"/>
      <c r="D65" s="11"/>
      <c r="E65" s="11"/>
      <c r="F65" s="11"/>
      <c r="G65" s="12" t="s">
        <v>97</v>
      </c>
      <c r="H65" s="12"/>
      <c r="I65" s="12" t="s">
        <v>125</v>
      </c>
      <c r="J65" s="12"/>
      <c r="K65" s="48" t="s">
        <v>136</v>
      </c>
      <c r="L65" s="48"/>
      <c r="M65" s="49">
        <f>91900</f>
        <v>91900</v>
      </c>
      <c r="N65" s="49"/>
      <c r="O65" s="49">
        <f>17292.58</f>
        <v>17292.58</v>
      </c>
      <c r="P65" s="49"/>
      <c r="Q65" s="49"/>
      <c r="R65" s="49"/>
      <c r="S65" s="49"/>
      <c r="T65" s="42">
        <f>74607.42</f>
        <v>74607.42</v>
      </c>
      <c r="U65" s="42"/>
    </row>
    <row r="66" spans="1:21" s="1" customFormat="1" ht="24" customHeight="1">
      <c r="A66" s="11" t="s">
        <v>137</v>
      </c>
      <c r="B66" s="11"/>
      <c r="C66" s="11"/>
      <c r="D66" s="11"/>
      <c r="E66" s="11"/>
      <c r="F66" s="11"/>
      <c r="G66" s="12" t="s">
        <v>97</v>
      </c>
      <c r="H66" s="12"/>
      <c r="I66" s="12" t="s">
        <v>125</v>
      </c>
      <c r="J66" s="12"/>
      <c r="K66" s="48" t="s">
        <v>138</v>
      </c>
      <c r="L66" s="48"/>
      <c r="M66" s="49">
        <f>18100</f>
        <v>18100</v>
      </c>
      <c r="N66" s="49"/>
      <c r="O66" s="49">
        <f>18100</f>
        <v>18100</v>
      </c>
      <c r="P66" s="49"/>
      <c r="Q66" s="49"/>
      <c r="R66" s="49"/>
      <c r="S66" s="49"/>
      <c r="T66" s="42">
        <f>0</f>
        <v>0</v>
      </c>
      <c r="U66" s="42"/>
    </row>
    <row r="67" spans="1:21" s="1" customFormat="1" ht="13.5" customHeight="1">
      <c r="A67" s="11" t="s">
        <v>127</v>
      </c>
      <c r="B67" s="11"/>
      <c r="C67" s="11"/>
      <c r="D67" s="11"/>
      <c r="E67" s="11"/>
      <c r="F67" s="11"/>
      <c r="G67" s="12" t="s">
        <v>97</v>
      </c>
      <c r="H67" s="12"/>
      <c r="I67" s="12" t="s">
        <v>139</v>
      </c>
      <c r="J67" s="12"/>
      <c r="K67" s="48" t="s">
        <v>128</v>
      </c>
      <c r="L67" s="48"/>
      <c r="M67" s="49">
        <f>689757.97</f>
        <v>689757.97</v>
      </c>
      <c r="N67" s="49"/>
      <c r="O67" s="49">
        <f>351120.52</f>
        <v>351120.52</v>
      </c>
      <c r="P67" s="49"/>
      <c r="Q67" s="49"/>
      <c r="R67" s="49"/>
      <c r="S67" s="49"/>
      <c r="T67" s="42">
        <f>338637.45</f>
        <v>338637.45</v>
      </c>
      <c r="U67" s="42"/>
    </row>
    <row r="68" spans="1:21" s="1" customFormat="1" ht="13.5" customHeight="1">
      <c r="A68" s="11" t="s">
        <v>140</v>
      </c>
      <c r="B68" s="11"/>
      <c r="C68" s="11"/>
      <c r="D68" s="11"/>
      <c r="E68" s="11"/>
      <c r="F68" s="11"/>
      <c r="G68" s="12" t="s">
        <v>97</v>
      </c>
      <c r="H68" s="12"/>
      <c r="I68" s="12" t="s">
        <v>141</v>
      </c>
      <c r="J68" s="12"/>
      <c r="K68" s="48" t="s">
        <v>142</v>
      </c>
      <c r="L68" s="48"/>
      <c r="M68" s="49">
        <f>60000</f>
        <v>60000</v>
      </c>
      <c r="N68" s="49"/>
      <c r="O68" s="49">
        <f>22893.76</f>
        <v>22893.76</v>
      </c>
      <c r="P68" s="49"/>
      <c r="Q68" s="49"/>
      <c r="R68" s="49"/>
      <c r="S68" s="49"/>
      <c r="T68" s="42">
        <f>37106.24</f>
        <v>37106.24</v>
      </c>
      <c r="U68" s="42"/>
    </row>
    <row r="69" spans="1:21" s="1" customFormat="1" ht="13.5" customHeight="1">
      <c r="A69" s="11" t="s">
        <v>140</v>
      </c>
      <c r="B69" s="11"/>
      <c r="C69" s="11"/>
      <c r="D69" s="11"/>
      <c r="E69" s="11"/>
      <c r="F69" s="11"/>
      <c r="G69" s="12" t="s">
        <v>97</v>
      </c>
      <c r="H69" s="12"/>
      <c r="I69" s="12" t="s">
        <v>143</v>
      </c>
      <c r="J69" s="12"/>
      <c r="K69" s="48" t="s">
        <v>142</v>
      </c>
      <c r="L69" s="48"/>
      <c r="M69" s="49">
        <f>14000</f>
        <v>14000</v>
      </c>
      <c r="N69" s="49"/>
      <c r="O69" s="49">
        <f>5480</f>
        <v>5480</v>
      </c>
      <c r="P69" s="49"/>
      <c r="Q69" s="49"/>
      <c r="R69" s="49"/>
      <c r="S69" s="49"/>
      <c r="T69" s="42">
        <f>8520</f>
        <v>8520</v>
      </c>
      <c r="U69" s="42"/>
    </row>
    <row r="70" spans="1:21" s="1" customFormat="1" ht="13.5" customHeight="1">
      <c r="A70" s="11" t="s">
        <v>140</v>
      </c>
      <c r="B70" s="11"/>
      <c r="C70" s="11"/>
      <c r="D70" s="11"/>
      <c r="E70" s="11"/>
      <c r="F70" s="11"/>
      <c r="G70" s="12" t="s">
        <v>97</v>
      </c>
      <c r="H70" s="12"/>
      <c r="I70" s="12" t="s">
        <v>144</v>
      </c>
      <c r="J70" s="12"/>
      <c r="K70" s="48" t="s">
        <v>142</v>
      </c>
      <c r="L70" s="48"/>
      <c r="M70" s="49">
        <f>0</f>
        <v>0</v>
      </c>
      <c r="N70" s="49"/>
      <c r="O70" s="14" t="s">
        <v>49</v>
      </c>
      <c r="P70" s="14"/>
      <c r="Q70" s="14"/>
      <c r="R70" s="14"/>
      <c r="S70" s="14"/>
      <c r="T70" s="50" t="s">
        <v>49</v>
      </c>
      <c r="U70" s="50"/>
    </row>
    <row r="71" spans="1:21" s="1" customFormat="1" ht="13.5" customHeight="1">
      <c r="A71" s="11" t="s">
        <v>145</v>
      </c>
      <c r="B71" s="11"/>
      <c r="C71" s="11"/>
      <c r="D71" s="11"/>
      <c r="E71" s="11"/>
      <c r="F71" s="11"/>
      <c r="G71" s="12" t="s">
        <v>97</v>
      </c>
      <c r="H71" s="12"/>
      <c r="I71" s="12" t="s">
        <v>144</v>
      </c>
      <c r="J71" s="12"/>
      <c r="K71" s="48" t="s">
        <v>146</v>
      </c>
      <c r="L71" s="48"/>
      <c r="M71" s="49">
        <f>15000</f>
        <v>15000</v>
      </c>
      <c r="N71" s="49"/>
      <c r="O71" s="49">
        <f>15000</f>
        <v>15000</v>
      </c>
      <c r="P71" s="49"/>
      <c r="Q71" s="49"/>
      <c r="R71" s="49"/>
      <c r="S71" s="49"/>
      <c r="T71" s="42">
        <f>0</f>
        <v>0</v>
      </c>
      <c r="U71" s="42"/>
    </row>
    <row r="72" spans="1:21" s="1" customFormat="1" ht="13.5" customHeight="1">
      <c r="A72" s="11" t="s">
        <v>117</v>
      </c>
      <c r="B72" s="11"/>
      <c r="C72" s="11"/>
      <c r="D72" s="11"/>
      <c r="E72" s="11"/>
      <c r="F72" s="11"/>
      <c r="G72" s="12" t="s">
        <v>97</v>
      </c>
      <c r="H72" s="12"/>
      <c r="I72" s="12" t="s">
        <v>147</v>
      </c>
      <c r="J72" s="12"/>
      <c r="K72" s="48" t="s">
        <v>118</v>
      </c>
      <c r="L72" s="48"/>
      <c r="M72" s="49">
        <f>270000</f>
        <v>270000</v>
      </c>
      <c r="N72" s="49"/>
      <c r="O72" s="49">
        <f>177015.3</f>
        <v>177015.3</v>
      </c>
      <c r="P72" s="49"/>
      <c r="Q72" s="49"/>
      <c r="R72" s="49"/>
      <c r="S72" s="49"/>
      <c r="T72" s="42">
        <f>92984.7</f>
        <v>92984.7</v>
      </c>
      <c r="U72" s="42"/>
    </row>
    <row r="73" spans="1:21" s="1" customFormat="1" ht="13.5" customHeight="1">
      <c r="A73" s="11" t="s">
        <v>129</v>
      </c>
      <c r="B73" s="11"/>
      <c r="C73" s="11"/>
      <c r="D73" s="11"/>
      <c r="E73" s="11"/>
      <c r="F73" s="11"/>
      <c r="G73" s="12" t="s">
        <v>97</v>
      </c>
      <c r="H73" s="12"/>
      <c r="I73" s="12" t="s">
        <v>148</v>
      </c>
      <c r="J73" s="12"/>
      <c r="K73" s="48" t="s">
        <v>130</v>
      </c>
      <c r="L73" s="48"/>
      <c r="M73" s="49">
        <f>50000</f>
        <v>50000</v>
      </c>
      <c r="N73" s="49"/>
      <c r="O73" s="14" t="s">
        <v>49</v>
      </c>
      <c r="P73" s="14"/>
      <c r="Q73" s="14"/>
      <c r="R73" s="14"/>
      <c r="S73" s="14"/>
      <c r="T73" s="42">
        <f>50000</f>
        <v>50000</v>
      </c>
      <c r="U73" s="42"/>
    </row>
    <row r="74" spans="1:21" s="1" customFormat="1" ht="13.5" customHeight="1">
      <c r="A74" s="11" t="s">
        <v>127</v>
      </c>
      <c r="B74" s="11"/>
      <c r="C74" s="11"/>
      <c r="D74" s="11"/>
      <c r="E74" s="11"/>
      <c r="F74" s="11"/>
      <c r="G74" s="12" t="s">
        <v>97</v>
      </c>
      <c r="H74" s="12"/>
      <c r="I74" s="12" t="s">
        <v>149</v>
      </c>
      <c r="J74" s="12"/>
      <c r="K74" s="48" t="s">
        <v>128</v>
      </c>
      <c r="L74" s="48"/>
      <c r="M74" s="49">
        <f>100000</f>
        <v>100000</v>
      </c>
      <c r="N74" s="49"/>
      <c r="O74" s="14" t="s">
        <v>49</v>
      </c>
      <c r="P74" s="14"/>
      <c r="Q74" s="14"/>
      <c r="R74" s="14"/>
      <c r="S74" s="14"/>
      <c r="T74" s="42">
        <f>100000</f>
        <v>100000</v>
      </c>
      <c r="U74" s="42"/>
    </row>
    <row r="75" spans="1:21" s="1" customFormat="1" ht="13.5" customHeight="1">
      <c r="A75" s="11" t="s">
        <v>98</v>
      </c>
      <c r="B75" s="11"/>
      <c r="C75" s="11"/>
      <c r="D75" s="11"/>
      <c r="E75" s="11"/>
      <c r="F75" s="11"/>
      <c r="G75" s="12" t="s">
        <v>97</v>
      </c>
      <c r="H75" s="12"/>
      <c r="I75" s="12" t="s">
        <v>150</v>
      </c>
      <c r="J75" s="12"/>
      <c r="K75" s="48" t="s">
        <v>100</v>
      </c>
      <c r="L75" s="48"/>
      <c r="M75" s="49">
        <f>373123.18</f>
        <v>373123.18</v>
      </c>
      <c r="N75" s="49"/>
      <c r="O75" s="49">
        <f>199327.6</f>
        <v>199327.6</v>
      </c>
      <c r="P75" s="49"/>
      <c r="Q75" s="49"/>
      <c r="R75" s="49"/>
      <c r="S75" s="49"/>
      <c r="T75" s="42">
        <f>173795.58</f>
        <v>173795.58</v>
      </c>
      <c r="U75" s="42"/>
    </row>
    <row r="76" spans="1:21" s="1" customFormat="1" ht="13.5" customHeight="1">
      <c r="A76" s="11" t="s">
        <v>105</v>
      </c>
      <c r="B76" s="11"/>
      <c r="C76" s="11"/>
      <c r="D76" s="11"/>
      <c r="E76" s="11"/>
      <c r="F76" s="11"/>
      <c r="G76" s="12" t="s">
        <v>97</v>
      </c>
      <c r="H76" s="12"/>
      <c r="I76" s="12" t="s">
        <v>150</v>
      </c>
      <c r="J76" s="12"/>
      <c r="K76" s="48" t="s">
        <v>106</v>
      </c>
      <c r="L76" s="48"/>
      <c r="M76" s="49">
        <f>6176.82</f>
        <v>6176.82</v>
      </c>
      <c r="N76" s="49"/>
      <c r="O76" s="49">
        <f>6176.82</f>
        <v>6176.82</v>
      </c>
      <c r="P76" s="49"/>
      <c r="Q76" s="49"/>
      <c r="R76" s="49"/>
      <c r="S76" s="49"/>
      <c r="T76" s="42">
        <f>0</f>
        <v>0</v>
      </c>
      <c r="U76" s="42"/>
    </row>
    <row r="77" spans="1:21" s="1" customFormat="1" ht="13.5" customHeight="1">
      <c r="A77" s="11" t="s">
        <v>101</v>
      </c>
      <c r="B77" s="11"/>
      <c r="C77" s="11"/>
      <c r="D77" s="11"/>
      <c r="E77" s="11"/>
      <c r="F77" s="11"/>
      <c r="G77" s="12" t="s">
        <v>97</v>
      </c>
      <c r="H77" s="12"/>
      <c r="I77" s="12" t="s">
        <v>151</v>
      </c>
      <c r="J77" s="12"/>
      <c r="K77" s="48" t="s">
        <v>103</v>
      </c>
      <c r="L77" s="48"/>
      <c r="M77" s="49">
        <f>114500</f>
        <v>114500</v>
      </c>
      <c r="N77" s="49"/>
      <c r="O77" s="49">
        <f>52118.3</f>
        <v>52118.3</v>
      </c>
      <c r="P77" s="49"/>
      <c r="Q77" s="49"/>
      <c r="R77" s="49"/>
      <c r="S77" s="49"/>
      <c r="T77" s="42">
        <f>62381.7</f>
        <v>62381.7</v>
      </c>
      <c r="U77" s="42"/>
    </row>
    <row r="78" spans="1:21" s="1" customFormat="1" ht="13.5" customHeight="1">
      <c r="A78" s="11" t="s">
        <v>98</v>
      </c>
      <c r="B78" s="11"/>
      <c r="C78" s="11"/>
      <c r="D78" s="11"/>
      <c r="E78" s="11"/>
      <c r="F78" s="11"/>
      <c r="G78" s="12" t="s">
        <v>97</v>
      </c>
      <c r="H78" s="12"/>
      <c r="I78" s="12" t="s">
        <v>152</v>
      </c>
      <c r="J78" s="12"/>
      <c r="K78" s="48" t="s">
        <v>100</v>
      </c>
      <c r="L78" s="48"/>
      <c r="M78" s="49">
        <f>91000</f>
        <v>91000</v>
      </c>
      <c r="N78" s="49"/>
      <c r="O78" s="49">
        <f>42000</f>
        <v>42000</v>
      </c>
      <c r="P78" s="49"/>
      <c r="Q78" s="49"/>
      <c r="R78" s="49"/>
      <c r="S78" s="49"/>
      <c r="T78" s="42">
        <f>49000</f>
        <v>49000</v>
      </c>
      <c r="U78" s="42"/>
    </row>
    <row r="79" spans="1:21" s="1" customFormat="1" ht="13.5" customHeight="1">
      <c r="A79" s="11" t="s">
        <v>101</v>
      </c>
      <c r="B79" s="11"/>
      <c r="C79" s="11"/>
      <c r="D79" s="11"/>
      <c r="E79" s="11"/>
      <c r="F79" s="11"/>
      <c r="G79" s="12" t="s">
        <v>97</v>
      </c>
      <c r="H79" s="12"/>
      <c r="I79" s="12" t="s">
        <v>153</v>
      </c>
      <c r="J79" s="12"/>
      <c r="K79" s="48" t="s">
        <v>103</v>
      </c>
      <c r="L79" s="48"/>
      <c r="M79" s="49">
        <f>27500</f>
        <v>27500</v>
      </c>
      <c r="N79" s="49"/>
      <c r="O79" s="49">
        <f>12684</f>
        <v>12684</v>
      </c>
      <c r="P79" s="49"/>
      <c r="Q79" s="49"/>
      <c r="R79" s="49"/>
      <c r="S79" s="49"/>
      <c r="T79" s="42">
        <f>14816</f>
        <v>14816</v>
      </c>
      <c r="U79" s="42"/>
    </row>
    <row r="80" spans="1:21" s="1" customFormat="1" ht="13.5" customHeight="1">
      <c r="A80" s="11" t="s">
        <v>135</v>
      </c>
      <c r="B80" s="11"/>
      <c r="C80" s="11"/>
      <c r="D80" s="11"/>
      <c r="E80" s="11"/>
      <c r="F80" s="11"/>
      <c r="G80" s="12" t="s">
        <v>97</v>
      </c>
      <c r="H80" s="12"/>
      <c r="I80" s="12" t="s">
        <v>154</v>
      </c>
      <c r="J80" s="12"/>
      <c r="K80" s="48" t="s">
        <v>136</v>
      </c>
      <c r="L80" s="48"/>
      <c r="M80" s="49">
        <f>37500</f>
        <v>37500</v>
      </c>
      <c r="N80" s="49"/>
      <c r="O80" s="49">
        <f>30480</f>
        <v>30480</v>
      </c>
      <c r="P80" s="49"/>
      <c r="Q80" s="49"/>
      <c r="R80" s="49"/>
      <c r="S80" s="49"/>
      <c r="T80" s="42">
        <f>7020</f>
        <v>7020</v>
      </c>
      <c r="U80" s="42"/>
    </row>
    <row r="81" spans="1:21" s="1" customFormat="1" ht="13.5" customHeight="1">
      <c r="A81" s="11" t="s">
        <v>117</v>
      </c>
      <c r="B81" s="11"/>
      <c r="C81" s="11"/>
      <c r="D81" s="11"/>
      <c r="E81" s="11"/>
      <c r="F81" s="11"/>
      <c r="G81" s="12" t="s">
        <v>97</v>
      </c>
      <c r="H81" s="12"/>
      <c r="I81" s="12" t="s">
        <v>155</v>
      </c>
      <c r="J81" s="12"/>
      <c r="K81" s="48" t="s">
        <v>118</v>
      </c>
      <c r="L81" s="48"/>
      <c r="M81" s="49">
        <f>17000</f>
        <v>17000</v>
      </c>
      <c r="N81" s="49"/>
      <c r="O81" s="49">
        <f>7038.7</f>
        <v>7038.7</v>
      </c>
      <c r="P81" s="49"/>
      <c r="Q81" s="49"/>
      <c r="R81" s="49"/>
      <c r="S81" s="49"/>
      <c r="T81" s="42">
        <f>9961.3</f>
        <v>9961.3</v>
      </c>
      <c r="U81" s="42"/>
    </row>
    <row r="82" spans="1:21" s="1" customFormat="1" ht="13.5" customHeight="1">
      <c r="A82" s="11" t="s">
        <v>117</v>
      </c>
      <c r="B82" s="11"/>
      <c r="C82" s="11"/>
      <c r="D82" s="11"/>
      <c r="E82" s="11"/>
      <c r="F82" s="11"/>
      <c r="G82" s="12" t="s">
        <v>97</v>
      </c>
      <c r="H82" s="12"/>
      <c r="I82" s="12" t="s">
        <v>156</v>
      </c>
      <c r="J82" s="12"/>
      <c r="K82" s="48" t="s">
        <v>118</v>
      </c>
      <c r="L82" s="48"/>
      <c r="M82" s="49">
        <f>1032526.32</f>
        <v>1032526.32</v>
      </c>
      <c r="N82" s="49"/>
      <c r="O82" s="49">
        <f>599756.19</f>
        <v>599756.19</v>
      </c>
      <c r="P82" s="49"/>
      <c r="Q82" s="49"/>
      <c r="R82" s="49"/>
      <c r="S82" s="49"/>
      <c r="T82" s="42">
        <f>432770.13</f>
        <v>432770.13</v>
      </c>
      <c r="U82" s="42"/>
    </row>
    <row r="83" spans="1:21" s="1" customFormat="1" ht="13.5" customHeight="1">
      <c r="A83" s="11" t="s">
        <v>117</v>
      </c>
      <c r="B83" s="11"/>
      <c r="C83" s="11"/>
      <c r="D83" s="11"/>
      <c r="E83" s="11"/>
      <c r="F83" s="11"/>
      <c r="G83" s="12" t="s">
        <v>97</v>
      </c>
      <c r="H83" s="12"/>
      <c r="I83" s="12" t="s">
        <v>157</v>
      </c>
      <c r="J83" s="12"/>
      <c r="K83" s="48" t="s">
        <v>118</v>
      </c>
      <c r="L83" s="48"/>
      <c r="M83" s="49">
        <f>48373.68</f>
        <v>48373.68</v>
      </c>
      <c r="N83" s="49"/>
      <c r="O83" s="14" t="s">
        <v>49</v>
      </c>
      <c r="P83" s="14"/>
      <c r="Q83" s="14"/>
      <c r="R83" s="14"/>
      <c r="S83" s="14"/>
      <c r="T83" s="42">
        <f>48373.68</f>
        <v>48373.68</v>
      </c>
      <c r="U83" s="42"/>
    </row>
    <row r="84" spans="1:21" s="1" customFormat="1" ht="13.5" customHeight="1">
      <c r="A84" s="11" t="s">
        <v>117</v>
      </c>
      <c r="B84" s="11"/>
      <c r="C84" s="11"/>
      <c r="D84" s="11"/>
      <c r="E84" s="11"/>
      <c r="F84" s="11"/>
      <c r="G84" s="12" t="s">
        <v>97</v>
      </c>
      <c r="H84" s="12"/>
      <c r="I84" s="12" t="s">
        <v>158</v>
      </c>
      <c r="J84" s="12"/>
      <c r="K84" s="48" t="s">
        <v>118</v>
      </c>
      <c r="L84" s="48"/>
      <c r="M84" s="49">
        <f>0</f>
        <v>0</v>
      </c>
      <c r="N84" s="49"/>
      <c r="O84" s="14" t="s">
        <v>49</v>
      </c>
      <c r="P84" s="14"/>
      <c r="Q84" s="14"/>
      <c r="R84" s="14"/>
      <c r="S84" s="14"/>
      <c r="T84" s="50" t="s">
        <v>49</v>
      </c>
      <c r="U84" s="50"/>
    </row>
    <row r="85" spans="1:21" s="1" customFormat="1" ht="13.5" customHeight="1">
      <c r="A85" s="11" t="s">
        <v>117</v>
      </c>
      <c r="B85" s="11"/>
      <c r="C85" s="11"/>
      <c r="D85" s="11"/>
      <c r="E85" s="11"/>
      <c r="F85" s="11"/>
      <c r="G85" s="12" t="s">
        <v>97</v>
      </c>
      <c r="H85" s="12"/>
      <c r="I85" s="12" t="s">
        <v>159</v>
      </c>
      <c r="J85" s="12"/>
      <c r="K85" s="48" t="s">
        <v>118</v>
      </c>
      <c r="L85" s="48"/>
      <c r="M85" s="49">
        <f>157894.74</f>
        <v>157894.74</v>
      </c>
      <c r="N85" s="49"/>
      <c r="O85" s="49">
        <f>52631.58</f>
        <v>52631.58</v>
      </c>
      <c r="P85" s="49"/>
      <c r="Q85" s="49"/>
      <c r="R85" s="49"/>
      <c r="S85" s="49"/>
      <c r="T85" s="42">
        <f>105263.16</f>
        <v>105263.16</v>
      </c>
      <c r="U85" s="42"/>
    </row>
    <row r="86" spans="1:21" s="1" customFormat="1" ht="13.5" customHeight="1">
      <c r="A86" s="11" t="s">
        <v>117</v>
      </c>
      <c r="B86" s="11"/>
      <c r="C86" s="11"/>
      <c r="D86" s="11"/>
      <c r="E86" s="11"/>
      <c r="F86" s="11"/>
      <c r="G86" s="12" t="s">
        <v>97</v>
      </c>
      <c r="H86" s="12"/>
      <c r="I86" s="12" t="s">
        <v>160</v>
      </c>
      <c r="J86" s="12"/>
      <c r="K86" s="48" t="s">
        <v>118</v>
      </c>
      <c r="L86" s="48"/>
      <c r="M86" s="49">
        <f>92105.26</f>
        <v>92105.26</v>
      </c>
      <c r="N86" s="49"/>
      <c r="O86" s="49">
        <f>5263.16</f>
        <v>5263.16</v>
      </c>
      <c r="P86" s="49"/>
      <c r="Q86" s="49"/>
      <c r="R86" s="49"/>
      <c r="S86" s="49"/>
      <c r="T86" s="42">
        <f>86842.1</f>
        <v>86842.1</v>
      </c>
      <c r="U86" s="42"/>
    </row>
    <row r="87" spans="1:21" s="1" customFormat="1" ht="13.5" customHeight="1">
      <c r="A87" s="11" t="s">
        <v>117</v>
      </c>
      <c r="B87" s="11"/>
      <c r="C87" s="11"/>
      <c r="D87" s="11"/>
      <c r="E87" s="11"/>
      <c r="F87" s="11"/>
      <c r="G87" s="12" t="s">
        <v>97</v>
      </c>
      <c r="H87" s="12"/>
      <c r="I87" s="12" t="s">
        <v>161</v>
      </c>
      <c r="J87" s="12"/>
      <c r="K87" s="48" t="s">
        <v>118</v>
      </c>
      <c r="L87" s="48"/>
      <c r="M87" s="49">
        <f>0</f>
        <v>0</v>
      </c>
      <c r="N87" s="49"/>
      <c r="O87" s="14" t="s">
        <v>49</v>
      </c>
      <c r="P87" s="14"/>
      <c r="Q87" s="14"/>
      <c r="R87" s="14"/>
      <c r="S87" s="14"/>
      <c r="T87" s="50" t="s">
        <v>49</v>
      </c>
      <c r="U87" s="50"/>
    </row>
    <row r="88" spans="1:21" s="1" customFormat="1" ht="13.5" customHeight="1">
      <c r="A88" s="11" t="s">
        <v>117</v>
      </c>
      <c r="B88" s="11"/>
      <c r="C88" s="11"/>
      <c r="D88" s="11"/>
      <c r="E88" s="11"/>
      <c r="F88" s="11"/>
      <c r="G88" s="12" t="s">
        <v>97</v>
      </c>
      <c r="H88" s="12"/>
      <c r="I88" s="12" t="s">
        <v>162</v>
      </c>
      <c r="J88" s="12"/>
      <c r="K88" s="48" t="s">
        <v>118</v>
      </c>
      <c r="L88" s="48"/>
      <c r="M88" s="49">
        <f>11500</f>
        <v>11500</v>
      </c>
      <c r="N88" s="49"/>
      <c r="O88" s="14" t="s">
        <v>49</v>
      </c>
      <c r="P88" s="14"/>
      <c r="Q88" s="14"/>
      <c r="R88" s="14"/>
      <c r="S88" s="14"/>
      <c r="T88" s="42">
        <f>11500</f>
        <v>11500</v>
      </c>
      <c r="U88" s="42"/>
    </row>
    <row r="89" spans="1:21" s="1" customFormat="1" ht="13.5" customHeight="1">
      <c r="A89" s="11" t="s">
        <v>117</v>
      </c>
      <c r="B89" s="11"/>
      <c r="C89" s="11"/>
      <c r="D89" s="11"/>
      <c r="E89" s="11"/>
      <c r="F89" s="11"/>
      <c r="G89" s="12" t="s">
        <v>97</v>
      </c>
      <c r="H89" s="12"/>
      <c r="I89" s="12" t="s">
        <v>163</v>
      </c>
      <c r="J89" s="12"/>
      <c r="K89" s="48" t="s">
        <v>118</v>
      </c>
      <c r="L89" s="48"/>
      <c r="M89" s="49">
        <f>11500</f>
        <v>11500</v>
      </c>
      <c r="N89" s="49"/>
      <c r="O89" s="14" t="s">
        <v>49</v>
      </c>
      <c r="P89" s="14"/>
      <c r="Q89" s="14"/>
      <c r="R89" s="14"/>
      <c r="S89" s="14"/>
      <c r="T89" s="42">
        <f>11500</f>
        <v>11500</v>
      </c>
      <c r="U89" s="42"/>
    </row>
    <row r="90" spans="1:21" s="1" customFormat="1" ht="24" customHeight="1">
      <c r="A90" s="11" t="s">
        <v>164</v>
      </c>
      <c r="B90" s="11"/>
      <c r="C90" s="11"/>
      <c r="D90" s="11"/>
      <c r="E90" s="11"/>
      <c r="F90" s="11"/>
      <c r="G90" s="12" t="s">
        <v>97</v>
      </c>
      <c r="H90" s="12"/>
      <c r="I90" s="12" t="s">
        <v>165</v>
      </c>
      <c r="J90" s="12"/>
      <c r="K90" s="48" t="s">
        <v>166</v>
      </c>
      <c r="L90" s="48"/>
      <c r="M90" s="49">
        <f>300000</f>
        <v>300000</v>
      </c>
      <c r="N90" s="49"/>
      <c r="O90" s="49">
        <f>300000</f>
        <v>300000</v>
      </c>
      <c r="P90" s="49"/>
      <c r="Q90" s="49"/>
      <c r="R90" s="49"/>
      <c r="S90" s="49"/>
      <c r="T90" s="42">
        <f>0</f>
        <v>0</v>
      </c>
      <c r="U90" s="42"/>
    </row>
    <row r="91" spans="1:21" s="1" customFormat="1" ht="13.5" customHeight="1">
      <c r="A91" s="11" t="s">
        <v>117</v>
      </c>
      <c r="B91" s="11"/>
      <c r="C91" s="11"/>
      <c r="D91" s="11"/>
      <c r="E91" s="11"/>
      <c r="F91" s="11"/>
      <c r="G91" s="12" t="s">
        <v>97</v>
      </c>
      <c r="H91" s="12"/>
      <c r="I91" s="12" t="s">
        <v>167</v>
      </c>
      <c r="J91" s="12"/>
      <c r="K91" s="48" t="s">
        <v>118</v>
      </c>
      <c r="L91" s="48"/>
      <c r="M91" s="49">
        <f>0</f>
        <v>0</v>
      </c>
      <c r="N91" s="49"/>
      <c r="O91" s="14" t="s">
        <v>49</v>
      </c>
      <c r="P91" s="14"/>
      <c r="Q91" s="14"/>
      <c r="R91" s="14"/>
      <c r="S91" s="14"/>
      <c r="T91" s="50" t="s">
        <v>49</v>
      </c>
      <c r="U91" s="50"/>
    </row>
    <row r="92" spans="1:21" s="1" customFormat="1" ht="13.5" customHeight="1">
      <c r="A92" s="11" t="s">
        <v>117</v>
      </c>
      <c r="B92" s="11"/>
      <c r="C92" s="11"/>
      <c r="D92" s="11"/>
      <c r="E92" s="11"/>
      <c r="F92" s="11"/>
      <c r="G92" s="12" t="s">
        <v>97</v>
      </c>
      <c r="H92" s="12"/>
      <c r="I92" s="12" t="s">
        <v>168</v>
      </c>
      <c r="J92" s="12"/>
      <c r="K92" s="48" t="s">
        <v>118</v>
      </c>
      <c r="L92" s="48"/>
      <c r="M92" s="49">
        <f>0</f>
        <v>0</v>
      </c>
      <c r="N92" s="49"/>
      <c r="O92" s="14" t="s">
        <v>49</v>
      </c>
      <c r="P92" s="14"/>
      <c r="Q92" s="14"/>
      <c r="R92" s="14"/>
      <c r="S92" s="14"/>
      <c r="T92" s="50" t="s">
        <v>49</v>
      </c>
      <c r="U92" s="50"/>
    </row>
    <row r="93" spans="1:21" s="1" customFormat="1" ht="13.5" customHeight="1">
      <c r="A93" s="11" t="s">
        <v>117</v>
      </c>
      <c r="B93" s="11"/>
      <c r="C93" s="11"/>
      <c r="D93" s="11"/>
      <c r="E93" s="11"/>
      <c r="F93" s="11"/>
      <c r="G93" s="12" t="s">
        <v>97</v>
      </c>
      <c r="H93" s="12"/>
      <c r="I93" s="12" t="s">
        <v>169</v>
      </c>
      <c r="J93" s="12"/>
      <c r="K93" s="48" t="s">
        <v>118</v>
      </c>
      <c r="L93" s="48"/>
      <c r="M93" s="49">
        <f>0</f>
        <v>0</v>
      </c>
      <c r="N93" s="49"/>
      <c r="O93" s="14" t="s">
        <v>49</v>
      </c>
      <c r="P93" s="14"/>
      <c r="Q93" s="14"/>
      <c r="R93" s="14"/>
      <c r="S93" s="14"/>
      <c r="T93" s="50" t="s">
        <v>49</v>
      </c>
      <c r="U93" s="50"/>
    </row>
    <row r="94" spans="1:21" s="1" customFormat="1" ht="13.5" customHeight="1">
      <c r="A94" s="11" t="s">
        <v>117</v>
      </c>
      <c r="B94" s="11"/>
      <c r="C94" s="11"/>
      <c r="D94" s="11"/>
      <c r="E94" s="11"/>
      <c r="F94" s="11"/>
      <c r="G94" s="12" t="s">
        <v>97</v>
      </c>
      <c r="H94" s="12"/>
      <c r="I94" s="12" t="s">
        <v>170</v>
      </c>
      <c r="J94" s="12"/>
      <c r="K94" s="48" t="s">
        <v>118</v>
      </c>
      <c r="L94" s="48"/>
      <c r="M94" s="49">
        <f>981474</f>
        <v>981474</v>
      </c>
      <c r="N94" s="49"/>
      <c r="O94" s="49">
        <f>425600</f>
        <v>425600</v>
      </c>
      <c r="P94" s="49"/>
      <c r="Q94" s="49"/>
      <c r="R94" s="49"/>
      <c r="S94" s="49"/>
      <c r="T94" s="42">
        <f>555874</f>
        <v>555874</v>
      </c>
      <c r="U94" s="42"/>
    </row>
    <row r="95" spans="1:21" s="1" customFormat="1" ht="13.5" customHeight="1">
      <c r="A95" s="11" t="s">
        <v>117</v>
      </c>
      <c r="B95" s="11"/>
      <c r="C95" s="11"/>
      <c r="D95" s="11"/>
      <c r="E95" s="11"/>
      <c r="F95" s="11"/>
      <c r="G95" s="12" t="s">
        <v>97</v>
      </c>
      <c r="H95" s="12"/>
      <c r="I95" s="12" t="s">
        <v>171</v>
      </c>
      <c r="J95" s="12"/>
      <c r="K95" s="48" t="s">
        <v>118</v>
      </c>
      <c r="L95" s="48"/>
      <c r="M95" s="49">
        <f>43274.25</f>
        <v>43274.25</v>
      </c>
      <c r="N95" s="49"/>
      <c r="O95" s="14" t="s">
        <v>49</v>
      </c>
      <c r="P95" s="14"/>
      <c r="Q95" s="14"/>
      <c r="R95" s="14"/>
      <c r="S95" s="14"/>
      <c r="T95" s="42">
        <f>43274.25</f>
        <v>43274.25</v>
      </c>
      <c r="U95" s="42"/>
    </row>
    <row r="96" spans="1:21" s="1" customFormat="1" ht="13.5" customHeight="1">
      <c r="A96" s="11" t="s">
        <v>129</v>
      </c>
      <c r="B96" s="11"/>
      <c r="C96" s="11"/>
      <c r="D96" s="11"/>
      <c r="E96" s="11"/>
      <c r="F96" s="11"/>
      <c r="G96" s="12" t="s">
        <v>97</v>
      </c>
      <c r="H96" s="12"/>
      <c r="I96" s="12" t="s">
        <v>172</v>
      </c>
      <c r="J96" s="12"/>
      <c r="K96" s="48" t="s">
        <v>130</v>
      </c>
      <c r="L96" s="48"/>
      <c r="M96" s="49">
        <f>908208</f>
        <v>908208</v>
      </c>
      <c r="N96" s="49"/>
      <c r="O96" s="49">
        <f>377235.75</f>
        <v>377235.75</v>
      </c>
      <c r="P96" s="49"/>
      <c r="Q96" s="49"/>
      <c r="R96" s="49"/>
      <c r="S96" s="49"/>
      <c r="T96" s="42">
        <f>530972.25</f>
        <v>530972.25</v>
      </c>
      <c r="U96" s="42"/>
    </row>
    <row r="97" spans="1:21" s="1" customFormat="1" ht="13.5" customHeight="1">
      <c r="A97" s="11" t="s">
        <v>117</v>
      </c>
      <c r="B97" s="11"/>
      <c r="C97" s="11"/>
      <c r="D97" s="11"/>
      <c r="E97" s="11"/>
      <c r="F97" s="11"/>
      <c r="G97" s="12" t="s">
        <v>97</v>
      </c>
      <c r="H97" s="12"/>
      <c r="I97" s="12" t="s">
        <v>172</v>
      </c>
      <c r="J97" s="12"/>
      <c r="K97" s="48" t="s">
        <v>118</v>
      </c>
      <c r="L97" s="48"/>
      <c r="M97" s="49">
        <f>0</f>
        <v>0</v>
      </c>
      <c r="N97" s="49"/>
      <c r="O97" s="14" t="s">
        <v>49</v>
      </c>
      <c r="P97" s="14"/>
      <c r="Q97" s="14"/>
      <c r="R97" s="14"/>
      <c r="S97" s="14"/>
      <c r="T97" s="50" t="s">
        <v>49</v>
      </c>
      <c r="U97" s="50"/>
    </row>
    <row r="98" spans="1:21" s="1" customFormat="1" ht="13.5" customHeight="1">
      <c r="A98" s="11" t="s">
        <v>129</v>
      </c>
      <c r="B98" s="11"/>
      <c r="C98" s="11"/>
      <c r="D98" s="11"/>
      <c r="E98" s="11"/>
      <c r="F98" s="11"/>
      <c r="G98" s="12" t="s">
        <v>97</v>
      </c>
      <c r="H98" s="12"/>
      <c r="I98" s="12" t="s">
        <v>173</v>
      </c>
      <c r="J98" s="12"/>
      <c r="K98" s="48" t="s">
        <v>130</v>
      </c>
      <c r="L98" s="48"/>
      <c r="M98" s="49">
        <f>20669954.35</f>
        <v>20669954.35</v>
      </c>
      <c r="N98" s="49"/>
      <c r="O98" s="49">
        <f>7658089.44</f>
        <v>7658089.44</v>
      </c>
      <c r="P98" s="49"/>
      <c r="Q98" s="49"/>
      <c r="R98" s="49"/>
      <c r="S98" s="49"/>
      <c r="T98" s="42">
        <f>13011864.91</f>
        <v>13011864.91</v>
      </c>
      <c r="U98" s="42"/>
    </row>
    <row r="99" spans="1:21" s="1" customFormat="1" ht="13.5" customHeight="1">
      <c r="A99" s="11" t="s">
        <v>117</v>
      </c>
      <c r="B99" s="11"/>
      <c r="C99" s="11"/>
      <c r="D99" s="11"/>
      <c r="E99" s="11"/>
      <c r="F99" s="11"/>
      <c r="G99" s="12" t="s">
        <v>97</v>
      </c>
      <c r="H99" s="12"/>
      <c r="I99" s="12" t="s">
        <v>173</v>
      </c>
      <c r="J99" s="12"/>
      <c r="K99" s="48" t="s">
        <v>118</v>
      </c>
      <c r="L99" s="48"/>
      <c r="M99" s="49">
        <f>540649.65</f>
        <v>540649.65</v>
      </c>
      <c r="N99" s="49"/>
      <c r="O99" s="49">
        <f>314749.42</f>
        <v>314749.42</v>
      </c>
      <c r="P99" s="49"/>
      <c r="Q99" s="49"/>
      <c r="R99" s="49"/>
      <c r="S99" s="49"/>
      <c r="T99" s="42">
        <f>225900.23</f>
        <v>225900.23</v>
      </c>
      <c r="U99" s="42"/>
    </row>
    <row r="100" spans="1:21" s="1" customFormat="1" ht="13.5" customHeight="1">
      <c r="A100" s="11" t="s">
        <v>135</v>
      </c>
      <c r="B100" s="11"/>
      <c r="C100" s="11"/>
      <c r="D100" s="11"/>
      <c r="E100" s="11"/>
      <c r="F100" s="11"/>
      <c r="G100" s="12" t="s">
        <v>97</v>
      </c>
      <c r="H100" s="12"/>
      <c r="I100" s="12" t="s">
        <v>173</v>
      </c>
      <c r="J100" s="12"/>
      <c r="K100" s="48" t="s">
        <v>136</v>
      </c>
      <c r="L100" s="48"/>
      <c r="M100" s="49">
        <f>1136896</f>
        <v>1136896</v>
      </c>
      <c r="N100" s="49"/>
      <c r="O100" s="49">
        <f>1136896</f>
        <v>1136896</v>
      </c>
      <c r="P100" s="49"/>
      <c r="Q100" s="49"/>
      <c r="R100" s="49"/>
      <c r="S100" s="49"/>
      <c r="T100" s="42">
        <f>0</f>
        <v>0</v>
      </c>
      <c r="U100" s="42"/>
    </row>
    <row r="101" spans="1:21" s="1" customFormat="1" ht="13.5" customHeight="1">
      <c r="A101" s="11" t="s">
        <v>124</v>
      </c>
      <c r="B101" s="11"/>
      <c r="C101" s="11"/>
      <c r="D101" s="11"/>
      <c r="E101" s="11"/>
      <c r="F101" s="11"/>
      <c r="G101" s="12" t="s">
        <v>97</v>
      </c>
      <c r="H101" s="12"/>
      <c r="I101" s="12" t="s">
        <v>174</v>
      </c>
      <c r="J101" s="12"/>
      <c r="K101" s="48" t="s">
        <v>126</v>
      </c>
      <c r="L101" s="48"/>
      <c r="M101" s="49">
        <f>398383.36</f>
        <v>398383.36</v>
      </c>
      <c r="N101" s="49"/>
      <c r="O101" s="49">
        <f>131440.51</f>
        <v>131440.51</v>
      </c>
      <c r="P101" s="49"/>
      <c r="Q101" s="49"/>
      <c r="R101" s="49"/>
      <c r="S101" s="49"/>
      <c r="T101" s="42">
        <f>266942.85</f>
        <v>266942.85</v>
      </c>
      <c r="U101" s="42"/>
    </row>
    <row r="102" spans="1:21" s="1" customFormat="1" ht="13.5" customHeight="1">
      <c r="A102" s="11" t="s">
        <v>117</v>
      </c>
      <c r="B102" s="11"/>
      <c r="C102" s="11"/>
      <c r="D102" s="11"/>
      <c r="E102" s="11"/>
      <c r="F102" s="11"/>
      <c r="G102" s="12" t="s">
        <v>97</v>
      </c>
      <c r="H102" s="12"/>
      <c r="I102" s="12" t="s">
        <v>174</v>
      </c>
      <c r="J102" s="12"/>
      <c r="K102" s="48" t="s">
        <v>118</v>
      </c>
      <c r="L102" s="48"/>
      <c r="M102" s="49">
        <f>1547500</f>
        <v>1547500</v>
      </c>
      <c r="N102" s="49"/>
      <c r="O102" s="49">
        <f>580325.04</f>
        <v>580325.04</v>
      </c>
      <c r="P102" s="49"/>
      <c r="Q102" s="49"/>
      <c r="R102" s="49"/>
      <c r="S102" s="49"/>
      <c r="T102" s="42">
        <f>967174.96</f>
        <v>967174.96</v>
      </c>
      <c r="U102" s="42"/>
    </row>
    <row r="103" spans="1:21" s="1" customFormat="1" ht="13.5" customHeight="1">
      <c r="A103" s="11" t="s">
        <v>175</v>
      </c>
      <c r="B103" s="11"/>
      <c r="C103" s="11"/>
      <c r="D103" s="11"/>
      <c r="E103" s="11"/>
      <c r="F103" s="11"/>
      <c r="G103" s="12" t="s">
        <v>97</v>
      </c>
      <c r="H103" s="12"/>
      <c r="I103" s="12" t="s">
        <v>174</v>
      </c>
      <c r="J103" s="12"/>
      <c r="K103" s="48" t="s">
        <v>176</v>
      </c>
      <c r="L103" s="48"/>
      <c r="M103" s="49">
        <f>100000</f>
        <v>100000</v>
      </c>
      <c r="N103" s="49"/>
      <c r="O103" s="49">
        <f>80900</f>
        <v>80900</v>
      </c>
      <c r="P103" s="49"/>
      <c r="Q103" s="49"/>
      <c r="R103" s="49"/>
      <c r="S103" s="49"/>
      <c r="T103" s="42">
        <f>19100</f>
        <v>19100</v>
      </c>
      <c r="U103" s="42"/>
    </row>
    <row r="104" spans="1:21" s="1" customFormat="1" ht="13.5" customHeight="1">
      <c r="A104" s="11" t="s">
        <v>135</v>
      </c>
      <c r="B104" s="11"/>
      <c r="C104" s="11"/>
      <c r="D104" s="11"/>
      <c r="E104" s="11"/>
      <c r="F104" s="11"/>
      <c r="G104" s="12" t="s">
        <v>97</v>
      </c>
      <c r="H104" s="12"/>
      <c r="I104" s="12" t="s">
        <v>174</v>
      </c>
      <c r="J104" s="12"/>
      <c r="K104" s="48" t="s">
        <v>136</v>
      </c>
      <c r="L104" s="48"/>
      <c r="M104" s="49">
        <f>200000</f>
        <v>200000</v>
      </c>
      <c r="N104" s="49"/>
      <c r="O104" s="49">
        <f>93900</f>
        <v>93900</v>
      </c>
      <c r="P104" s="49"/>
      <c r="Q104" s="49"/>
      <c r="R104" s="49"/>
      <c r="S104" s="49"/>
      <c r="T104" s="42">
        <f>106100</f>
        <v>106100</v>
      </c>
      <c r="U104" s="42"/>
    </row>
    <row r="105" spans="1:21" s="1" customFormat="1" ht="13.5" customHeight="1">
      <c r="A105" s="11" t="s">
        <v>117</v>
      </c>
      <c r="B105" s="11"/>
      <c r="C105" s="11"/>
      <c r="D105" s="11"/>
      <c r="E105" s="11"/>
      <c r="F105" s="11"/>
      <c r="G105" s="12" t="s">
        <v>97</v>
      </c>
      <c r="H105" s="12"/>
      <c r="I105" s="12" t="s">
        <v>177</v>
      </c>
      <c r="J105" s="12"/>
      <c r="K105" s="48" t="s">
        <v>118</v>
      </c>
      <c r="L105" s="48"/>
      <c r="M105" s="49">
        <f>10000</f>
        <v>10000</v>
      </c>
      <c r="N105" s="49"/>
      <c r="O105" s="14" t="s">
        <v>49</v>
      </c>
      <c r="P105" s="14"/>
      <c r="Q105" s="14"/>
      <c r="R105" s="14"/>
      <c r="S105" s="14"/>
      <c r="T105" s="42">
        <f>10000</f>
        <v>10000</v>
      </c>
      <c r="U105" s="42"/>
    </row>
    <row r="106" spans="1:21" s="1" customFormat="1" ht="13.5" customHeight="1">
      <c r="A106" s="11" t="s">
        <v>117</v>
      </c>
      <c r="B106" s="11"/>
      <c r="C106" s="11"/>
      <c r="D106" s="11"/>
      <c r="E106" s="11"/>
      <c r="F106" s="11"/>
      <c r="G106" s="12" t="s">
        <v>97</v>
      </c>
      <c r="H106" s="12"/>
      <c r="I106" s="12" t="s">
        <v>178</v>
      </c>
      <c r="J106" s="12"/>
      <c r="K106" s="48" t="s">
        <v>118</v>
      </c>
      <c r="L106" s="48"/>
      <c r="M106" s="49">
        <f>560000</f>
        <v>560000</v>
      </c>
      <c r="N106" s="49"/>
      <c r="O106" s="14" t="s">
        <v>49</v>
      </c>
      <c r="P106" s="14"/>
      <c r="Q106" s="14"/>
      <c r="R106" s="14"/>
      <c r="S106" s="14"/>
      <c r="T106" s="42">
        <f>560000</f>
        <v>560000</v>
      </c>
      <c r="U106" s="42"/>
    </row>
    <row r="107" spans="1:21" s="1" customFormat="1" ht="13.5" customHeight="1">
      <c r="A107" s="11" t="s">
        <v>117</v>
      </c>
      <c r="B107" s="11"/>
      <c r="C107" s="11"/>
      <c r="D107" s="11"/>
      <c r="E107" s="11"/>
      <c r="F107" s="11"/>
      <c r="G107" s="12" t="s">
        <v>97</v>
      </c>
      <c r="H107" s="12"/>
      <c r="I107" s="12" t="s">
        <v>179</v>
      </c>
      <c r="J107" s="12"/>
      <c r="K107" s="48" t="s">
        <v>118</v>
      </c>
      <c r="L107" s="48"/>
      <c r="M107" s="49">
        <f>15000</f>
        <v>15000</v>
      </c>
      <c r="N107" s="49"/>
      <c r="O107" s="14" t="s">
        <v>49</v>
      </c>
      <c r="P107" s="14"/>
      <c r="Q107" s="14"/>
      <c r="R107" s="14"/>
      <c r="S107" s="14"/>
      <c r="T107" s="42">
        <f>15000</f>
        <v>15000</v>
      </c>
      <c r="U107" s="42"/>
    </row>
    <row r="108" spans="1:21" s="1" customFormat="1" ht="24" customHeight="1">
      <c r="A108" s="11" t="s">
        <v>121</v>
      </c>
      <c r="B108" s="11"/>
      <c r="C108" s="11"/>
      <c r="D108" s="11"/>
      <c r="E108" s="11"/>
      <c r="F108" s="11"/>
      <c r="G108" s="12" t="s">
        <v>97</v>
      </c>
      <c r="H108" s="12"/>
      <c r="I108" s="12" t="s">
        <v>180</v>
      </c>
      <c r="J108" s="12"/>
      <c r="K108" s="48" t="s">
        <v>123</v>
      </c>
      <c r="L108" s="48"/>
      <c r="M108" s="49">
        <f>2240544.83</f>
        <v>2240544.83</v>
      </c>
      <c r="N108" s="49"/>
      <c r="O108" s="49">
        <f>1120272.43</f>
        <v>1120272.43</v>
      </c>
      <c r="P108" s="49"/>
      <c r="Q108" s="49"/>
      <c r="R108" s="49"/>
      <c r="S108" s="49"/>
      <c r="T108" s="42">
        <f>1120272.4</f>
        <v>1120272.4</v>
      </c>
      <c r="U108" s="42"/>
    </row>
    <row r="109" spans="1:21" s="1" customFormat="1" ht="24" customHeight="1">
      <c r="A109" s="11" t="s">
        <v>121</v>
      </c>
      <c r="B109" s="11"/>
      <c r="C109" s="11"/>
      <c r="D109" s="11"/>
      <c r="E109" s="11"/>
      <c r="F109" s="11"/>
      <c r="G109" s="12" t="s">
        <v>97</v>
      </c>
      <c r="H109" s="12"/>
      <c r="I109" s="12" t="s">
        <v>181</v>
      </c>
      <c r="J109" s="12"/>
      <c r="K109" s="48" t="s">
        <v>123</v>
      </c>
      <c r="L109" s="48"/>
      <c r="M109" s="49">
        <f>0</f>
        <v>0</v>
      </c>
      <c r="N109" s="49"/>
      <c r="O109" s="14" t="s">
        <v>49</v>
      </c>
      <c r="P109" s="14"/>
      <c r="Q109" s="14"/>
      <c r="R109" s="14"/>
      <c r="S109" s="14"/>
      <c r="T109" s="50" t="s">
        <v>49</v>
      </c>
      <c r="U109" s="50"/>
    </row>
    <row r="110" spans="1:21" s="1" customFormat="1" ht="13.5" customHeight="1">
      <c r="A110" s="11" t="s">
        <v>117</v>
      </c>
      <c r="B110" s="11"/>
      <c r="C110" s="11"/>
      <c r="D110" s="11"/>
      <c r="E110" s="11"/>
      <c r="F110" s="11"/>
      <c r="G110" s="12" t="s">
        <v>97</v>
      </c>
      <c r="H110" s="12"/>
      <c r="I110" s="12" t="s">
        <v>182</v>
      </c>
      <c r="J110" s="12"/>
      <c r="K110" s="48" t="s">
        <v>118</v>
      </c>
      <c r="L110" s="48"/>
      <c r="M110" s="49">
        <f>400000</f>
        <v>400000</v>
      </c>
      <c r="N110" s="49"/>
      <c r="O110" s="49">
        <f>400000</f>
        <v>400000</v>
      </c>
      <c r="P110" s="49"/>
      <c r="Q110" s="49"/>
      <c r="R110" s="49"/>
      <c r="S110" s="49"/>
      <c r="T110" s="42">
        <f>0</f>
        <v>0</v>
      </c>
      <c r="U110" s="42"/>
    </row>
    <row r="111" spans="1:21" s="1" customFormat="1" ht="13.5" customHeight="1">
      <c r="A111" s="11" t="s">
        <v>129</v>
      </c>
      <c r="B111" s="11"/>
      <c r="C111" s="11"/>
      <c r="D111" s="11"/>
      <c r="E111" s="11"/>
      <c r="F111" s="11"/>
      <c r="G111" s="12" t="s">
        <v>97</v>
      </c>
      <c r="H111" s="12"/>
      <c r="I111" s="12" t="s">
        <v>183</v>
      </c>
      <c r="J111" s="12"/>
      <c r="K111" s="48" t="s">
        <v>130</v>
      </c>
      <c r="L111" s="48"/>
      <c r="M111" s="49">
        <f>500000</f>
        <v>500000</v>
      </c>
      <c r="N111" s="49"/>
      <c r="O111" s="49">
        <f>284453.07</f>
        <v>284453.07</v>
      </c>
      <c r="P111" s="49"/>
      <c r="Q111" s="49"/>
      <c r="R111" s="49"/>
      <c r="S111" s="49"/>
      <c r="T111" s="42">
        <f>215546.93</f>
        <v>215546.93</v>
      </c>
      <c r="U111" s="42"/>
    </row>
    <row r="112" spans="1:21" s="1" customFormat="1" ht="13.5" customHeight="1">
      <c r="A112" s="11" t="s">
        <v>117</v>
      </c>
      <c r="B112" s="11"/>
      <c r="C112" s="11"/>
      <c r="D112" s="11"/>
      <c r="E112" s="11"/>
      <c r="F112" s="11"/>
      <c r="G112" s="12" t="s">
        <v>97</v>
      </c>
      <c r="H112" s="12"/>
      <c r="I112" s="12" t="s">
        <v>183</v>
      </c>
      <c r="J112" s="12"/>
      <c r="K112" s="48" t="s">
        <v>118</v>
      </c>
      <c r="L112" s="48"/>
      <c r="M112" s="49">
        <f>270000</f>
        <v>270000</v>
      </c>
      <c r="N112" s="49"/>
      <c r="O112" s="49">
        <f>100000</f>
        <v>100000</v>
      </c>
      <c r="P112" s="49"/>
      <c r="Q112" s="49"/>
      <c r="R112" s="49"/>
      <c r="S112" s="49"/>
      <c r="T112" s="42">
        <f>170000</f>
        <v>170000</v>
      </c>
      <c r="U112" s="42"/>
    </row>
    <row r="113" spans="1:21" s="1" customFormat="1" ht="13.5" customHeight="1">
      <c r="A113" s="11" t="s">
        <v>129</v>
      </c>
      <c r="B113" s="11"/>
      <c r="C113" s="11"/>
      <c r="D113" s="11"/>
      <c r="E113" s="11"/>
      <c r="F113" s="11"/>
      <c r="G113" s="12" t="s">
        <v>97</v>
      </c>
      <c r="H113" s="12"/>
      <c r="I113" s="12" t="s">
        <v>184</v>
      </c>
      <c r="J113" s="12"/>
      <c r="K113" s="48" t="s">
        <v>130</v>
      </c>
      <c r="L113" s="48"/>
      <c r="M113" s="49">
        <f>600000</f>
        <v>600000</v>
      </c>
      <c r="N113" s="49"/>
      <c r="O113" s="49">
        <f>278578.42</f>
        <v>278578.42</v>
      </c>
      <c r="P113" s="49"/>
      <c r="Q113" s="49"/>
      <c r="R113" s="49"/>
      <c r="S113" s="49"/>
      <c r="T113" s="42">
        <f>321421.58</f>
        <v>321421.58</v>
      </c>
      <c r="U113" s="42"/>
    </row>
    <row r="114" spans="1:21" s="1" customFormat="1" ht="13.5" customHeight="1">
      <c r="A114" s="11" t="s">
        <v>135</v>
      </c>
      <c r="B114" s="11"/>
      <c r="C114" s="11"/>
      <c r="D114" s="11"/>
      <c r="E114" s="11"/>
      <c r="F114" s="11"/>
      <c r="G114" s="12" t="s">
        <v>97</v>
      </c>
      <c r="H114" s="12"/>
      <c r="I114" s="12" t="s">
        <v>185</v>
      </c>
      <c r="J114" s="12"/>
      <c r="K114" s="48" t="s">
        <v>136</v>
      </c>
      <c r="L114" s="48"/>
      <c r="M114" s="49">
        <f>300000</f>
        <v>300000</v>
      </c>
      <c r="N114" s="49"/>
      <c r="O114" s="49">
        <f>247810</f>
        <v>247810</v>
      </c>
      <c r="P114" s="49"/>
      <c r="Q114" s="49"/>
      <c r="R114" s="49"/>
      <c r="S114" s="49"/>
      <c r="T114" s="42">
        <f>52190</f>
        <v>52190</v>
      </c>
      <c r="U114" s="42"/>
    </row>
    <row r="115" spans="1:21" s="1" customFormat="1" ht="33.75" customHeight="1">
      <c r="A115" s="11" t="s">
        <v>186</v>
      </c>
      <c r="B115" s="11"/>
      <c r="C115" s="11"/>
      <c r="D115" s="11"/>
      <c r="E115" s="11"/>
      <c r="F115" s="11"/>
      <c r="G115" s="12" t="s">
        <v>97</v>
      </c>
      <c r="H115" s="12"/>
      <c r="I115" s="12" t="s">
        <v>187</v>
      </c>
      <c r="J115" s="12"/>
      <c r="K115" s="48" t="s">
        <v>188</v>
      </c>
      <c r="L115" s="48"/>
      <c r="M115" s="49">
        <f>3050000</f>
        <v>3050000</v>
      </c>
      <c r="N115" s="49"/>
      <c r="O115" s="49">
        <f>2126853.04</f>
        <v>2126853.04</v>
      </c>
      <c r="P115" s="49"/>
      <c r="Q115" s="49"/>
      <c r="R115" s="49"/>
      <c r="S115" s="49"/>
      <c r="T115" s="42">
        <f>923146.96</f>
        <v>923146.96</v>
      </c>
      <c r="U115" s="42"/>
    </row>
    <row r="116" spans="1:21" s="1" customFormat="1" ht="13.5" customHeight="1">
      <c r="A116" s="11" t="s">
        <v>117</v>
      </c>
      <c r="B116" s="11"/>
      <c r="C116" s="11"/>
      <c r="D116" s="11"/>
      <c r="E116" s="11"/>
      <c r="F116" s="11"/>
      <c r="G116" s="12" t="s">
        <v>97</v>
      </c>
      <c r="H116" s="12"/>
      <c r="I116" s="12" t="s">
        <v>189</v>
      </c>
      <c r="J116" s="12"/>
      <c r="K116" s="48" t="s">
        <v>118</v>
      </c>
      <c r="L116" s="48"/>
      <c r="M116" s="49">
        <f>800000</f>
        <v>800000</v>
      </c>
      <c r="N116" s="49"/>
      <c r="O116" s="49">
        <f>800000</f>
        <v>800000</v>
      </c>
      <c r="P116" s="49"/>
      <c r="Q116" s="49"/>
      <c r="R116" s="49"/>
      <c r="S116" s="49"/>
      <c r="T116" s="42">
        <f>0</f>
        <v>0</v>
      </c>
      <c r="U116" s="42"/>
    </row>
    <row r="117" spans="1:21" s="1" customFormat="1" ht="13.5" customHeight="1">
      <c r="A117" s="11" t="s">
        <v>117</v>
      </c>
      <c r="B117" s="11"/>
      <c r="C117" s="11"/>
      <c r="D117" s="11"/>
      <c r="E117" s="11"/>
      <c r="F117" s="11"/>
      <c r="G117" s="12" t="s">
        <v>97</v>
      </c>
      <c r="H117" s="12"/>
      <c r="I117" s="12" t="s">
        <v>190</v>
      </c>
      <c r="J117" s="12"/>
      <c r="K117" s="48" t="s">
        <v>118</v>
      </c>
      <c r="L117" s="48"/>
      <c r="M117" s="49">
        <f>762100</f>
        <v>762100</v>
      </c>
      <c r="N117" s="49"/>
      <c r="O117" s="14" t="s">
        <v>49</v>
      </c>
      <c r="P117" s="14"/>
      <c r="Q117" s="14"/>
      <c r="R117" s="14"/>
      <c r="S117" s="14"/>
      <c r="T117" s="42">
        <f>762100</f>
        <v>762100</v>
      </c>
      <c r="U117" s="42"/>
    </row>
    <row r="118" spans="1:21" s="1" customFormat="1" ht="13.5" customHeight="1">
      <c r="A118" s="11" t="s">
        <v>117</v>
      </c>
      <c r="B118" s="11"/>
      <c r="C118" s="11"/>
      <c r="D118" s="11"/>
      <c r="E118" s="11"/>
      <c r="F118" s="11"/>
      <c r="G118" s="12" t="s">
        <v>97</v>
      </c>
      <c r="H118" s="12"/>
      <c r="I118" s="12" t="s">
        <v>191</v>
      </c>
      <c r="J118" s="12"/>
      <c r="K118" s="48" t="s">
        <v>118</v>
      </c>
      <c r="L118" s="48"/>
      <c r="M118" s="49">
        <f>4518552.07</f>
        <v>4518552.07</v>
      </c>
      <c r="N118" s="49"/>
      <c r="O118" s="49">
        <f>2755204.89</f>
        <v>2755204.89</v>
      </c>
      <c r="P118" s="49"/>
      <c r="Q118" s="49"/>
      <c r="R118" s="49"/>
      <c r="S118" s="49"/>
      <c r="T118" s="42">
        <f>1763347.18</f>
        <v>1763347.18</v>
      </c>
      <c r="U118" s="42"/>
    </row>
    <row r="119" spans="1:21" s="1" customFormat="1" ht="13.5" customHeight="1">
      <c r="A119" s="11" t="s">
        <v>133</v>
      </c>
      <c r="B119" s="11"/>
      <c r="C119" s="11"/>
      <c r="D119" s="11"/>
      <c r="E119" s="11"/>
      <c r="F119" s="11"/>
      <c r="G119" s="12" t="s">
        <v>97</v>
      </c>
      <c r="H119" s="12"/>
      <c r="I119" s="12" t="s">
        <v>191</v>
      </c>
      <c r="J119" s="12"/>
      <c r="K119" s="48" t="s">
        <v>134</v>
      </c>
      <c r="L119" s="48"/>
      <c r="M119" s="49">
        <f>1565</f>
        <v>1565</v>
      </c>
      <c r="N119" s="49"/>
      <c r="O119" s="49">
        <f>1565</f>
        <v>1565</v>
      </c>
      <c r="P119" s="49"/>
      <c r="Q119" s="49"/>
      <c r="R119" s="49"/>
      <c r="S119" s="49"/>
      <c r="T119" s="42">
        <f>0</f>
        <v>0</v>
      </c>
      <c r="U119" s="42"/>
    </row>
    <row r="120" spans="1:21" s="1" customFormat="1" ht="13.5" customHeight="1">
      <c r="A120" s="11" t="s">
        <v>192</v>
      </c>
      <c r="B120" s="11"/>
      <c r="C120" s="11"/>
      <c r="D120" s="11"/>
      <c r="E120" s="11"/>
      <c r="F120" s="11"/>
      <c r="G120" s="12" t="s">
        <v>97</v>
      </c>
      <c r="H120" s="12"/>
      <c r="I120" s="12" t="s">
        <v>191</v>
      </c>
      <c r="J120" s="12"/>
      <c r="K120" s="48" t="s">
        <v>193</v>
      </c>
      <c r="L120" s="48"/>
      <c r="M120" s="49">
        <f>23290</f>
        <v>23290</v>
      </c>
      <c r="N120" s="49"/>
      <c r="O120" s="49">
        <f>23290</f>
        <v>23290</v>
      </c>
      <c r="P120" s="49"/>
      <c r="Q120" s="49"/>
      <c r="R120" s="49"/>
      <c r="S120" s="49"/>
      <c r="T120" s="42">
        <f>0</f>
        <v>0</v>
      </c>
      <c r="U120" s="42"/>
    </row>
    <row r="121" spans="1:21" s="1" customFormat="1" ht="13.5" customHeight="1">
      <c r="A121" s="11" t="s">
        <v>135</v>
      </c>
      <c r="B121" s="11"/>
      <c r="C121" s="11"/>
      <c r="D121" s="11"/>
      <c r="E121" s="11"/>
      <c r="F121" s="11"/>
      <c r="G121" s="12" t="s">
        <v>97</v>
      </c>
      <c r="H121" s="12"/>
      <c r="I121" s="12" t="s">
        <v>191</v>
      </c>
      <c r="J121" s="12"/>
      <c r="K121" s="48" t="s">
        <v>136</v>
      </c>
      <c r="L121" s="48"/>
      <c r="M121" s="49">
        <f>1071025.51</f>
        <v>1071025.51</v>
      </c>
      <c r="N121" s="49"/>
      <c r="O121" s="49">
        <f>1007992.5</f>
        <v>1007992.5</v>
      </c>
      <c r="P121" s="49"/>
      <c r="Q121" s="49"/>
      <c r="R121" s="49"/>
      <c r="S121" s="49"/>
      <c r="T121" s="42">
        <f>63033.01</f>
        <v>63033.01</v>
      </c>
      <c r="U121" s="42"/>
    </row>
    <row r="122" spans="1:21" s="1" customFormat="1" ht="13.5" customHeight="1">
      <c r="A122" s="11" t="s">
        <v>117</v>
      </c>
      <c r="B122" s="11"/>
      <c r="C122" s="11"/>
      <c r="D122" s="11"/>
      <c r="E122" s="11"/>
      <c r="F122" s="11"/>
      <c r="G122" s="12" t="s">
        <v>97</v>
      </c>
      <c r="H122" s="12"/>
      <c r="I122" s="12" t="s">
        <v>194</v>
      </c>
      <c r="J122" s="12"/>
      <c r="K122" s="48" t="s">
        <v>118</v>
      </c>
      <c r="L122" s="48"/>
      <c r="M122" s="49">
        <f>4210526.32</f>
        <v>4210526.32</v>
      </c>
      <c r="N122" s="49"/>
      <c r="O122" s="14" t="s">
        <v>49</v>
      </c>
      <c r="P122" s="14"/>
      <c r="Q122" s="14"/>
      <c r="R122" s="14"/>
      <c r="S122" s="14"/>
      <c r="T122" s="42">
        <f>4210526.32</f>
        <v>4210526.32</v>
      </c>
      <c r="U122" s="42"/>
    </row>
    <row r="123" spans="1:21" s="1" customFormat="1" ht="13.5" customHeight="1">
      <c r="A123" s="11" t="s">
        <v>129</v>
      </c>
      <c r="B123" s="11"/>
      <c r="C123" s="11"/>
      <c r="D123" s="11"/>
      <c r="E123" s="11"/>
      <c r="F123" s="11"/>
      <c r="G123" s="12" t="s">
        <v>97</v>
      </c>
      <c r="H123" s="12"/>
      <c r="I123" s="12" t="s">
        <v>195</v>
      </c>
      <c r="J123" s="12"/>
      <c r="K123" s="48" t="s">
        <v>130</v>
      </c>
      <c r="L123" s="48"/>
      <c r="M123" s="49">
        <f>194185.7</f>
        <v>194185.7</v>
      </c>
      <c r="N123" s="49"/>
      <c r="O123" s="49">
        <f>194185.7</f>
        <v>194185.7</v>
      </c>
      <c r="P123" s="49"/>
      <c r="Q123" s="49"/>
      <c r="R123" s="49"/>
      <c r="S123" s="49"/>
      <c r="T123" s="42">
        <f>0</f>
        <v>0</v>
      </c>
      <c r="U123" s="42"/>
    </row>
    <row r="124" spans="1:21" s="1" customFormat="1" ht="13.5" customHeight="1">
      <c r="A124" s="11" t="s">
        <v>117</v>
      </c>
      <c r="B124" s="11"/>
      <c r="C124" s="11"/>
      <c r="D124" s="11"/>
      <c r="E124" s="11"/>
      <c r="F124" s="11"/>
      <c r="G124" s="12" t="s">
        <v>97</v>
      </c>
      <c r="H124" s="12"/>
      <c r="I124" s="12" t="s">
        <v>195</v>
      </c>
      <c r="J124" s="12"/>
      <c r="K124" s="48" t="s">
        <v>118</v>
      </c>
      <c r="L124" s="48"/>
      <c r="M124" s="49">
        <f>8612667.79</f>
        <v>8612667.79</v>
      </c>
      <c r="N124" s="49"/>
      <c r="O124" s="49">
        <f>2466014.92</f>
        <v>2466014.92</v>
      </c>
      <c r="P124" s="49"/>
      <c r="Q124" s="49"/>
      <c r="R124" s="49"/>
      <c r="S124" s="49"/>
      <c r="T124" s="42">
        <f>6146652.87</f>
        <v>6146652.87</v>
      </c>
      <c r="U124" s="42"/>
    </row>
    <row r="125" spans="1:21" s="1" customFormat="1" ht="13.5" customHeight="1">
      <c r="A125" s="11" t="s">
        <v>175</v>
      </c>
      <c r="B125" s="11"/>
      <c r="C125" s="11"/>
      <c r="D125" s="11"/>
      <c r="E125" s="11"/>
      <c r="F125" s="11"/>
      <c r="G125" s="12" t="s">
        <v>97</v>
      </c>
      <c r="H125" s="12"/>
      <c r="I125" s="12" t="s">
        <v>195</v>
      </c>
      <c r="J125" s="12"/>
      <c r="K125" s="48" t="s">
        <v>176</v>
      </c>
      <c r="L125" s="48"/>
      <c r="M125" s="49">
        <f>196875</f>
        <v>196875</v>
      </c>
      <c r="N125" s="49"/>
      <c r="O125" s="49">
        <f>196875</f>
        <v>196875</v>
      </c>
      <c r="P125" s="49"/>
      <c r="Q125" s="49"/>
      <c r="R125" s="49"/>
      <c r="S125" s="49"/>
      <c r="T125" s="42">
        <f>0</f>
        <v>0</v>
      </c>
      <c r="U125" s="42"/>
    </row>
    <row r="126" spans="1:21" s="1" customFormat="1" ht="13.5" customHeight="1">
      <c r="A126" s="11" t="s">
        <v>135</v>
      </c>
      <c r="B126" s="11"/>
      <c r="C126" s="11"/>
      <c r="D126" s="11"/>
      <c r="E126" s="11"/>
      <c r="F126" s="11"/>
      <c r="G126" s="12" t="s">
        <v>97</v>
      </c>
      <c r="H126" s="12"/>
      <c r="I126" s="12" t="s">
        <v>195</v>
      </c>
      <c r="J126" s="12"/>
      <c r="K126" s="48" t="s">
        <v>136</v>
      </c>
      <c r="L126" s="48"/>
      <c r="M126" s="49">
        <f>265752</f>
        <v>265752</v>
      </c>
      <c r="N126" s="49"/>
      <c r="O126" s="49">
        <f>265752</f>
        <v>265752</v>
      </c>
      <c r="P126" s="49"/>
      <c r="Q126" s="49"/>
      <c r="R126" s="49"/>
      <c r="S126" s="49"/>
      <c r="T126" s="42">
        <f>0</f>
        <v>0</v>
      </c>
      <c r="U126" s="42"/>
    </row>
    <row r="127" spans="1:21" s="1" customFormat="1" ht="13.5" customHeight="1">
      <c r="A127" s="11" t="s">
        <v>117</v>
      </c>
      <c r="B127" s="11"/>
      <c r="C127" s="11"/>
      <c r="D127" s="11"/>
      <c r="E127" s="11"/>
      <c r="F127" s="11"/>
      <c r="G127" s="12" t="s">
        <v>97</v>
      </c>
      <c r="H127" s="12"/>
      <c r="I127" s="12" t="s">
        <v>196</v>
      </c>
      <c r="J127" s="12"/>
      <c r="K127" s="48" t="s">
        <v>118</v>
      </c>
      <c r="L127" s="48"/>
      <c r="M127" s="49">
        <f>0</f>
        <v>0</v>
      </c>
      <c r="N127" s="49"/>
      <c r="O127" s="14" t="s">
        <v>49</v>
      </c>
      <c r="P127" s="14"/>
      <c r="Q127" s="14"/>
      <c r="R127" s="14"/>
      <c r="S127" s="14"/>
      <c r="T127" s="50" t="s">
        <v>49</v>
      </c>
      <c r="U127" s="50"/>
    </row>
    <row r="128" spans="1:21" s="1" customFormat="1" ht="13.5" customHeight="1">
      <c r="A128" s="11" t="s">
        <v>129</v>
      </c>
      <c r="B128" s="11"/>
      <c r="C128" s="11"/>
      <c r="D128" s="11"/>
      <c r="E128" s="11"/>
      <c r="F128" s="11"/>
      <c r="G128" s="12" t="s">
        <v>97</v>
      </c>
      <c r="H128" s="12"/>
      <c r="I128" s="12" t="s">
        <v>197</v>
      </c>
      <c r="J128" s="12"/>
      <c r="K128" s="48" t="s">
        <v>130</v>
      </c>
      <c r="L128" s="48"/>
      <c r="M128" s="49">
        <f>4139973.23</f>
        <v>4139973.23</v>
      </c>
      <c r="N128" s="49"/>
      <c r="O128" s="49">
        <f>1783325.78</f>
        <v>1783325.78</v>
      </c>
      <c r="P128" s="49"/>
      <c r="Q128" s="49"/>
      <c r="R128" s="49"/>
      <c r="S128" s="49"/>
      <c r="T128" s="42">
        <f>2356647.45</f>
        <v>2356647.45</v>
      </c>
      <c r="U128" s="42"/>
    </row>
    <row r="129" spans="1:21" s="1" customFormat="1" ht="13.5" customHeight="1">
      <c r="A129" s="11" t="s">
        <v>129</v>
      </c>
      <c r="B129" s="11"/>
      <c r="C129" s="11"/>
      <c r="D129" s="11"/>
      <c r="E129" s="11"/>
      <c r="F129" s="11"/>
      <c r="G129" s="12" t="s">
        <v>97</v>
      </c>
      <c r="H129" s="12"/>
      <c r="I129" s="12" t="s">
        <v>198</v>
      </c>
      <c r="J129" s="12"/>
      <c r="K129" s="48" t="s">
        <v>130</v>
      </c>
      <c r="L129" s="48"/>
      <c r="M129" s="49">
        <f>1003829.71</f>
        <v>1003829.71</v>
      </c>
      <c r="N129" s="49"/>
      <c r="O129" s="49">
        <f>260352.06</f>
        <v>260352.06</v>
      </c>
      <c r="P129" s="49"/>
      <c r="Q129" s="49"/>
      <c r="R129" s="49"/>
      <c r="S129" s="49"/>
      <c r="T129" s="42">
        <f>743477.65</f>
        <v>743477.65</v>
      </c>
      <c r="U129" s="42"/>
    </row>
    <row r="130" spans="1:21" s="1" customFormat="1" ht="13.5" customHeight="1">
      <c r="A130" s="11" t="s">
        <v>127</v>
      </c>
      <c r="B130" s="11"/>
      <c r="C130" s="11"/>
      <c r="D130" s="11"/>
      <c r="E130" s="11"/>
      <c r="F130" s="11"/>
      <c r="G130" s="12" t="s">
        <v>97</v>
      </c>
      <c r="H130" s="12"/>
      <c r="I130" s="12" t="s">
        <v>199</v>
      </c>
      <c r="J130" s="12"/>
      <c r="K130" s="48" t="s">
        <v>128</v>
      </c>
      <c r="L130" s="48"/>
      <c r="M130" s="49">
        <f>3054654.66</f>
        <v>3054654.66</v>
      </c>
      <c r="N130" s="49"/>
      <c r="O130" s="49">
        <f>1471037.53</f>
        <v>1471037.53</v>
      </c>
      <c r="P130" s="49"/>
      <c r="Q130" s="49"/>
      <c r="R130" s="49"/>
      <c r="S130" s="49"/>
      <c r="T130" s="42">
        <f>1583617.13</f>
        <v>1583617.13</v>
      </c>
      <c r="U130" s="42"/>
    </row>
    <row r="131" spans="1:21" s="1" customFormat="1" ht="13.5" customHeight="1">
      <c r="A131" s="11" t="s">
        <v>117</v>
      </c>
      <c r="B131" s="11"/>
      <c r="C131" s="11"/>
      <c r="D131" s="11"/>
      <c r="E131" s="11"/>
      <c r="F131" s="11"/>
      <c r="G131" s="12" t="s">
        <v>97</v>
      </c>
      <c r="H131" s="12"/>
      <c r="I131" s="12" t="s">
        <v>200</v>
      </c>
      <c r="J131" s="12"/>
      <c r="K131" s="48" t="s">
        <v>118</v>
      </c>
      <c r="L131" s="48"/>
      <c r="M131" s="49">
        <f>100000</f>
        <v>100000</v>
      </c>
      <c r="N131" s="49"/>
      <c r="O131" s="14" t="s">
        <v>49</v>
      </c>
      <c r="P131" s="14"/>
      <c r="Q131" s="14"/>
      <c r="R131" s="14"/>
      <c r="S131" s="14"/>
      <c r="T131" s="42">
        <f>100000</f>
        <v>100000</v>
      </c>
      <c r="U131" s="42"/>
    </row>
    <row r="132" spans="1:21" s="1" customFormat="1" ht="13.5" customHeight="1">
      <c r="A132" s="11" t="s">
        <v>135</v>
      </c>
      <c r="B132" s="11"/>
      <c r="C132" s="11"/>
      <c r="D132" s="11"/>
      <c r="E132" s="11"/>
      <c r="F132" s="11"/>
      <c r="G132" s="12" t="s">
        <v>97</v>
      </c>
      <c r="H132" s="12"/>
      <c r="I132" s="12" t="s">
        <v>201</v>
      </c>
      <c r="J132" s="12"/>
      <c r="K132" s="48" t="s">
        <v>136</v>
      </c>
      <c r="L132" s="48"/>
      <c r="M132" s="49">
        <f>2243800</f>
        <v>2243800</v>
      </c>
      <c r="N132" s="49"/>
      <c r="O132" s="14" t="s">
        <v>49</v>
      </c>
      <c r="P132" s="14"/>
      <c r="Q132" s="14"/>
      <c r="R132" s="14"/>
      <c r="S132" s="14"/>
      <c r="T132" s="42">
        <f>2243800</f>
        <v>2243800</v>
      </c>
      <c r="U132" s="42"/>
    </row>
    <row r="133" spans="1:21" s="1" customFormat="1" ht="13.5" customHeight="1">
      <c r="A133" s="11" t="s">
        <v>117</v>
      </c>
      <c r="B133" s="11"/>
      <c r="C133" s="11"/>
      <c r="D133" s="11"/>
      <c r="E133" s="11"/>
      <c r="F133" s="11"/>
      <c r="G133" s="12" t="s">
        <v>97</v>
      </c>
      <c r="H133" s="12"/>
      <c r="I133" s="12" t="s">
        <v>202</v>
      </c>
      <c r="J133" s="12"/>
      <c r="K133" s="48" t="s">
        <v>118</v>
      </c>
      <c r="L133" s="48"/>
      <c r="M133" s="49">
        <f>961617.82</f>
        <v>961617.82</v>
      </c>
      <c r="N133" s="49"/>
      <c r="O133" s="14" t="s">
        <v>49</v>
      </c>
      <c r="P133" s="14"/>
      <c r="Q133" s="14"/>
      <c r="R133" s="14"/>
      <c r="S133" s="14"/>
      <c r="T133" s="42">
        <f>961617.82</f>
        <v>961617.82</v>
      </c>
      <c r="U133" s="42"/>
    </row>
    <row r="134" spans="1:21" s="1" customFormat="1" ht="13.5" customHeight="1">
      <c r="A134" s="11" t="s">
        <v>117</v>
      </c>
      <c r="B134" s="11"/>
      <c r="C134" s="11"/>
      <c r="D134" s="11"/>
      <c r="E134" s="11"/>
      <c r="F134" s="11"/>
      <c r="G134" s="12" t="s">
        <v>97</v>
      </c>
      <c r="H134" s="12"/>
      <c r="I134" s="12" t="s">
        <v>203</v>
      </c>
      <c r="J134" s="12"/>
      <c r="K134" s="48" t="s">
        <v>118</v>
      </c>
      <c r="L134" s="48"/>
      <c r="M134" s="49">
        <f>2938461.54</f>
        <v>2938461.54</v>
      </c>
      <c r="N134" s="49"/>
      <c r="O134" s="14" t="s">
        <v>49</v>
      </c>
      <c r="P134" s="14"/>
      <c r="Q134" s="14"/>
      <c r="R134" s="14"/>
      <c r="S134" s="14"/>
      <c r="T134" s="42">
        <f>2938461.54</f>
        <v>2938461.54</v>
      </c>
      <c r="U134" s="42"/>
    </row>
    <row r="135" spans="1:21" s="1" customFormat="1" ht="24" customHeight="1">
      <c r="A135" s="11" t="s">
        <v>121</v>
      </c>
      <c r="B135" s="11"/>
      <c r="C135" s="11"/>
      <c r="D135" s="11"/>
      <c r="E135" s="11"/>
      <c r="F135" s="11"/>
      <c r="G135" s="12" t="s">
        <v>97</v>
      </c>
      <c r="H135" s="12"/>
      <c r="I135" s="12" t="s">
        <v>204</v>
      </c>
      <c r="J135" s="12"/>
      <c r="K135" s="48" t="s">
        <v>123</v>
      </c>
      <c r="L135" s="48"/>
      <c r="M135" s="49">
        <f>734615.4</f>
        <v>734615.4</v>
      </c>
      <c r="N135" s="49"/>
      <c r="O135" s="14" t="s">
        <v>49</v>
      </c>
      <c r="P135" s="14"/>
      <c r="Q135" s="14"/>
      <c r="R135" s="14"/>
      <c r="S135" s="14"/>
      <c r="T135" s="42">
        <f>734615.4</f>
        <v>734615.4</v>
      </c>
      <c r="U135" s="42"/>
    </row>
    <row r="136" spans="1:21" s="1" customFormat="1" ht="24" customHeight="1">
      <c r="A136" s="11" t="s">
        <v>164</v>
      </c>
      <c r="B136" s="11"/>
      <c r="C136" s="11"/>
      <c r="D136" s="11"/>
      <c r="E136" s="11"/>
      <c r="F136" s="11"/>
      <c r="G136" s="12" t="s">
        <v>97</v>
      </c>
      <c r="H136" s="12"/>
      <c r="I136" s="12" t="s">
        <v>205</v>
      </c>
      <c r="J136" s="12"/>
      <c r="K136" s="48" t="s">
        <v>166</v>
      </c>
      <c r="L136" s="48"/>
      <c r="M136" s="49">
        <f>718137.44</f>
        <v>718137.44</v>
      </c>
      <c r="N136" s="49"/>
      <c r="O136" s="49">
        <f>718137.44</f>
        <v>718137.44</v>
      </c>
      <c r="P136" s="49"/>
      <c r="Q136" s="49"/>
      <c r="R136" s="49"/>
      <c r="S136" s="49"/>
      <c r="T136" s="42">
        <f>0</f>
        <v>0</v>
      </c>
      <c r="U136" s="42"/>
    </row>
    <row r="137" spans="1:21" s="1" customFormat="1" ht="24" customHeight="1">
      <c r="A137" s="11" t="s">
        <v>164</v>
      </c>
      <c r="B137" s="11"/>
      <c r="C137" s="11"/>
      <c r="D137" s="11"/>
      <c r="E137" s="11"/>
      <c r="F137" s="11"/>
      <c r="G137" s="12" t="s">
        <v>97</v>
      </c>
      <c r="H137" s="12"/>
      <c r="I137" s="12" t="s">
        <v>206</v>
      </c>
      <c r="J137" s="12"/>
      <c r="K137" s="48" t="s">
        <v>166</v>
      </c>
      <c r="L137" s="48"/>
      <c r="M137" s="49">
        <f>5439600</f>
        <v>5439600</v>
      </c>
      <c r="N137" s="49"/>
      <c r="O137" s="49">
        <f>3235136.48</f>
        <v>3235136.48</v>
      </c>
      <c r="P137" s="49"/>
      <c r="Q137" s="49"/>
      <c r="R137" s="49"/>
      <c r="S137" s="49"/>
      <c r="T137" s="42">
        <f>2204463.52</f>
        <v>2204463.52</v>
      </c>
      <c r="U137" s="42"/>
    </row>
    <row r="138" spans="1:21" s="1" customFormat="1" ht="24" customHeight="1">
      <c r="A138" s="11" t="s">
        <v>164</v>
      </c>
      <c r="B138" s="11"/>
      <c r="C138" s="11"/>
      <c r="D138" s="11"/>
      <c r="E138" s="11"/>
      <c r="F138" s="11"/>
      <c r="G138" s="12" t="s">
        <v>97</v>
      </c>
      <c r="H138" s="12"/>
      <c r="I138" s="12" t="s">
        <v>207</v>
      </c>
      <c r="J138" s="12"/>
      <c r="K138" s="48" t="s">
        <v>166</v>
      </c>
      <c r="L138" s="48"/>
      <c r="M138" s="49">
        <f>19145400</f>
        <v>19145400</v>
      </c>
      <c r="N138" s="49"/>
      <c r="O138" s="49">
        <f>9572700</f>
        <v>9572700</v>
      </c>
      <c r="P138" s="49"/>
      <c r="Q138" s="49"/>
      <c r="R138" s="49"/>
      <c r="S138" s="49"/>
      <c r="T138" s="42">
        <f>9572700</f>
        <v>9572700</v>
      </c>
      <c r="U138" s="42"/>
    </row>
    <row r="139" spans="1:21" s="1" customFormat="1" ht="24" customHeight="1">
      <c r="A139" s="11" t="s">
        <v>164</v>
      </c>
      <c r="B139" s="11"/>
      <c r="C139" s="11"/>
      <c r="D139" s="11"/>
      <c r="E139" s="11"/>
      <c r="F139" s="11"/>
      <c r="G139" s="12" t="s">
        <v>97</v>
      </c>
      <c r="H139" s="12"/>
      <c r="I139" s="12" t="s">
        <v>208</v>
      </c>
      <c r="J139" s="12"/>
      <c r="K139" s="48" t="s">
        <v>166</v>
      </c>
      <c r="L139" s="48"/>
      <c r="M139" s="49">
        <f>2929000</f>
        <v>2929000</v>
      </c>
      <c r="N139" s="49"/>
      <c r="O139" s="49">
        <f>1741986.93</f>
        <v>1741986.93</v>
      </c>
      <c r="P139" s="49"/>
      <c r="Q139" s="49"/>
      <c r="R139" s="49"/>
      <c r="S139" s="49"/>
      <c r="T139" s="42">
        <f>1187013.07</f>
        <v>1187013.07</v>
      </c>
      <c r="U139" s="42"/>
    </row>
    <row r="140" spans="1:21" s="1" customFormat="1" ht="24" customHeight="1">
      <c r="A140" s="11" t="s">
        <v>164</v>
      </c>
      <c r="B140" s="11"/>
      <c r="C140" s="11"/>
      <c r="D140" s="11"/>
      <c r="E140" s="11"/>
      <c r="F140" s="11"/>
      <c r="G140" s="12" t="s">
        <v>97</v>
      </c>
      <c r="H140" s="12"/>
      <c r="I140" s="12" t="s">
        <v>209</v>
      </c>
      <c r="J140" s="12"/>
      <c r="K140" s="48" t="s">
        <v>166</v>
      </c>
      <c r="L140" s="48"/>
      <c r="M140" s="49">
        <f>9181000</f>
        <v>9181000</v>
      </c>
      <c r="N140" s="49"/>
      <c r="O140" s="49">
        <f>4590500</f>
        <v>4590500</v>
      </c>
      <c r="P140" s="49"/>
      <c r="Q140" s="49"/>
      <c r="R140" s="49"/>
      <c r="S140" s="49"/>
      <c r="T140" s="42">
        <f>4590500</f>
        <v>4590500</v>
      </c>
      <c r="U140" s="42"/>
    </row>
    <row r="141" spans="1:21" s="1" customFormat="1" ht="24" customHeight="1">
      <c r="A141" s="11" t="s">
        <v>164</v>
      </c>
      <c r="B141" s="11"/>
      <c r="C141" s="11"/>
      <c r="D141" s="11"/>
      <c r="E141" s="11"/>
      <c r="F141" s="11"/>
      <c r="G141" s="12" t="s">
        <v>97</v>
      </c>
      <c r="H141" s="12"/>
      <c r="I141" s="12" t="s">
        <v>210</v>
      </c>
      <c r="J141" s="12"/>
      <c r="K141" s="48" t="s">
        <v>166</v>
      </c>
      <c r="L141" s="48"/>
      <c r="M141" s="49">
        <f>1334939.55</f>
        <v>1334939.55</v>
      </c>
      <c r="N141" s="49"/>
      <c r="O141" s="49">
        <f>965160.04</f>
        <v>965160.04</v>
      </c>
      <c r="P141" s="49"/>
      <c r="Q141" s="49"/>
      <c r="R141" s="49"/>
      <c r="S141" s="49"/>
      <c r="T141" s="42">
        <f>369779.51</f>
        <v>369779.51</v>
      </c>
      <c r="U141" s="42"/>
    </row>
    <row r="142" spans="1:21" s="1" customFormat="1" ht="13.5" customHeight="1">
      <c r="A142" s="11" t="s">
        <v>135</v>
      </c>
      <c r="B142" s="11"/>
      <c r="C142" s="11"/>
      <c r="D142" s="11"/>
      <c r="E142" s="11"/>
      <c r="F142" s="11"/>
      <c r="G142" s="12" t="s">
        <v>97</v>
      </c>
      <c r="H142" s="12"/>
      <c r="I142" s="12" t="s">
        <v>211</v>
      </c>
      <c r="J142" s="12"/>
      <c r="K142" s="48" t="s">
        <v>136</v>
      </c>
      <c r="L142" s="48"/>
      <c r="M142" s="49">
        <f>5800</f>
        <v>5800</v>
      </c>
      <c r="N142" s="49"/>
      <c r="O142" s="14" t="s">
        <v>49</v>
      </c>
      <c r="P142" s="14"/>
      <c r="Q142" s="14"/>
      <c r="R142" s="14"/>
      <c r="S142" s="14"/>
      <c r="T142" s="42">
        <f>5800</f>
        <v>5800</v>
      </c>
      <c r="U142" s="42"/>
    </row>
    <row r="143" spans="1:21" s="1" customFormat="1" ht="24" customHeight="1">
      <c r="A143" s="11" t="s">
        <v>212</v>
      </c>
      <c r="B143" s="11"/>
      <c r="C143" s="11"/>
      <c r="D143" s="11"/>
      <c r="E143" s="11"/>
      <c r="F143" s="11"/>
      <c r="G143" s="12" t="s">
        <v>97</v>
      </c>
      <c r="H143" s="12"/>
      <c r="I143" s="12" t="s">
        <v>213</v>
      </c>
      <c r="J143" s="12"/>
      <c r="K143" s="48" t="s">
        <v>214</v>
      </c>
      <c r="L143" s="48"/>
      <c r="M143" s="49">
        <f>389328</f>
        <v>389328</v>
      </c>
      <c r="N143" s="49"/>
      <c r="O143" s="49">
        <f>184664</f>
        <v>184664</v>
      </c>
      <c r="P143" s="49"/>
      <c r="Q143" s="49"/>
      <c r="R143" s="49"/>
      <c r="S143" s="49"/>
      <c r="T143" s="42">
        <f>204664</f>
        <v>204664</v>
      </c>
      <c r="U143" s="42"/>
    </row>
    <row r="144" spans="1:21" s="1" customFormat="1" ht="24" customHeight="1">
      <c r="A144" s="11" t="s">
        <v>164</v>
      </c>
      <c r="B144" s="11"/>
      <c r="C144" s="11"/>
      <c r="D144" s="11"/>
      <c r="E144" s="11"/>
      <c r="F144" s="11"/>
      <c r="G144" s="12" t="s">
        <v>97</v>
      </c>
      <c r="H144" s="12"/>
      <c r="I144" s="12" t="s">
        <v>215</v>
      </c>
      <c r="J144" s="12"/>
      <c r="K144" s="48" t="s">
        <v>166</v>
      </c>
      <c r="L144" s="48"/>
      <c r="M144" s="49">
        <f>3230000</f>
        <v>3230000</v>
      </c>
      <c r="N144" s="49"/>
      <c r="O144" s="49">
        <f>1615000</f>
        <v>1615000</v>
      </c>
      <c r="P144" s="49"/>
      <c r="Q144" s="49"/>
      <c r="R144" s="49"/>
      <c r="S144" s="49"/>
      <c r="T144" s="42">
        <f>1615000</f>
        <v>1615000</v>
      </c>
      <c r="U144" s="42"/>
    </row>
    <row r="145" spans="1:21" s="1" customFormat="1" ht="24" customHeight="1">
      <c r="A145" s="11" t="s">
        <v>164</v>
      </c>
      <c r="B145" s="11"/>
      <c r="C145" s="11"/>
      <c r="D145" s="11"/>
      <c r="E145" s="11"/>
      <c r="F145" s="11"/>
      <c r="G145" s="12" t="s">
        <v>97</v>
      </c>
      <c r="H145" s="12"/>
      <c r="I145" s="12" t="s">
        <v>216</v>
      </c>
      <c r="J145" s="12"/>
      <c r="K145" s="48" t="s">
        <v>166</v>
      </c>
      <c r="L145" s="48"/>
      <c r="M145" s="49">
        <f>108854</f>
        <v>108854</v>
      </c>
      <c r="N145" s="49"/>
      <c r="O145" s="49">
        <f>108854</f>
        <v>108854</v>
      </c>
      <c r="P145" s="49"/>
      <c r="Q145" s="49"/>
      <c r="R145" s="49"/>
      <c r="S145" s="49"/>
      <c r="T145" s="42">
        <f>0</f>
        <v>0</v>
      </c>
      <c r="U145" s="42"/>
    </row>
    <row r="146" spans="1:21" s="1" customFormat="1" ht="15" customHeight="1">
      <c r="A146" s="43" t="s">
        <v>217</v>
      </c>
      <c r="B146" s="43"/>
      <c r="C146" s="43"/>
      <c r="D146" s="43"/>
      <c r="E146" s="43"/>
      <c r="F146" s="43"/>
      <c r="G146" s="44" t="s">
        <v>218</v>
      </c>
      <c r="H146" s="44"/>
      <c r="I146" s="44" t="s">
        <v>36</v>
      </c>
      <c r="J146" s="44"/>
      <c r="K146" s="45" t="s">
        <v>36</v>
      </c>
      <c r="L146" s="45"/>
      <c r="M146" s="46">
        <f>-13061468.17</f>
        <v>-13061468.17</v>
      </c>
      <c r="N146" s="46"/>
      <c r="O146" s="46">
        <f>-287787.35</f>
        <v>-287787.35</v>
      </c>
      <c r="P146" s="46"/>
      <c r="Q146" s="46"/>
      <c r="R146" s="46"/>
      <c r="S146" s="46"/>
      <c r="T146" s="47" t="s">
        <v>36</v>
      </c>
      <c r="U146" s="47"/>
    </row>
    <row r="147" spans="1:21" s="1" customFormat="1" ht="13.5" customHeight="1">
      <c r="A147" s="9" t="s">
        <v>10</v>
      </c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</row>
    <row r="148" spans="1:21" s="1" customFormat="1" ht="13.5" customHeight="1">
      <c r="A148" s="38" t="s">
        <v>219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</row>
    <row r="149" spans="1:21" s="1" customFormat="1" ht="45.75" customHeight="1">
      <c r="A149" s="39" t="s">
        <v>22</v>
      </c>
      <c r="B149" s="39"/>
      <c r="C149" s="39"/>
      <c r="D149" s="39"/>
      <c r="E149" s="39"/>
      <c r="F149" s="39"/>
      <c r="G149" s="39"/>
      <c r="H149" s="39" t="s">
        <v>23</v>
      </c>
      <c r="I149" s="39"/>
      <c r="J149" s="39" t="s">
        <v>220</v>
      </c>
      <c r="K149" s="39"/>
      <c r="L149" s="40" t="s">
        <v>25</v>
      </c>
      <c r="M149" s="40"/>
      <c r="N149" s="40" t="s">
        <v>26</v>
      </c>
      <c r="O149" s="40"/>
      <c r="P149" s="40"/>
      <c r="Q149" s="40"/>
      <c r="R149" s="40"/>
      <c r="S149" s="41" t="s">
        <v>27</v>
      </c>
      <c r="T149" s="41"/>
      <c r="U149" s="41"/>
    </row>
    <row r="150" spans="1:21" s="1" customFormat="1" ht="12.75" customHeight="1">
      <c r="A150" s="35" t="s">
        <v>28</v>
      </c>
      <c r="B150" s="35"/>
      <c r="C150" s="35"/>
      <c r="D150" s="35"/>
      <c r="E150" s="35"/>
      <c r="F150" s="35"/>
      <c r="G150" s="35"/>
      <c r="H150" s="35" t="s">
        <v>29</v>
      </c>
      <c r="I150" s="35"/>
      <c r="J150" s="35" t="s">
        <v>30</v>
      </c>
      <c r="K150" s="35"/>
      <c r="L150" s="36" t="s">
        <v>31</v>
      </c>
      <c r="M150" s="36"/>
      <c r="N150" s="36" t="s">
        <v>32</v>
      </c>
      <c r="O150" s="36"/>
      <c r="P150" s="36"/>
      <c r="Q150" s="36"/>
      <c r="R150" s="36"/>
      <c r="S150" s="37" t="s">
        <v>33</v>
      </c>
      <c r="T150" s="37"/>
      <c r="U150" s="37"/>
    </row>
    <row r="151" spans="1:21" s="1" customFormat="1" ht="13.5" customHeight="1">
      <c r="A151" s="30" t="s">
        <v>221</v>
      </c>
      <c r="B151" s="30"/>
      <c r="C151" s="30"/>
      <c r="D151" s="30"/>
      <c r="E151" s="30"/>
      <c r="F151" s="30"/>
      <c r="G151" s="30"/>
      <c r="H151" s="31" t="s">
        <v>222</v>
      </c>
      <c r="I151" s="31"/>
      <c r="J151" s="31" t="s">
        <v>36</v>
      </c>
      <c r="K151" s="31"/>
      <c r="L151" s="32">
        <f>13061468.17</f>
        <v>13061468.17</v>
      </c>
      <c r="M151" s="32"/>
      <c r="N151" s="33" t="s">
        <v>49</v>
      </c>
      <c r="O151" s="33"/>
      <c r="P151" s="33"/>
      <c r="Q151" s="33"/>
      <c r="R151" s="33"/>
      <c r="S151" s="34" t="s">
        <v>36</v>
      </c>
      <c r="T151" s="34"/>
      <c r="U151" s="34"/>
    </row>
    <row r="152" spans="1:21" s="1" customFormat="1" ht="13.5" customHeight="1">
      <c r="A152" s="28" t="s">
        <v>223</v>
      </c>
      <c r="B152" s="28"/>
      <c r="C152" s="28"/>
      <c r="D152" s="28"/>
      <c r="E152" s="28"/>
      <c r="F152" s="28"/>
      <c r="G152" s="28"/>
      <c r="H152" s="19" t="s">
        <v>10</v>
      </c>
      <c r="I152" s="19"/>
      <c r="J152" s="19" t="s">
        <v>10</v>
      </c>
      <c r="K152" s="19"/>
      <c r="L152" s="20" t="s">
        <v>10</v>
      </c>
      <c r="M152" s="20"/>
      <c r="N152" s="29" t="s">
        <v>10</v>
      </c>
      <c r="O152" s="29"/>
      <c r="P152" s="29"/>
      <c r="Q152" s="29"/>
      <c r="R152" s="29"/>
      <c r="S152" s="21" t="s">
        <v>10</v>
      </c>
      <c r="T152" s="21"/>
      <c r="U152" s="21"/>
    </row>
    <row r="153" spans="1:21" s="1" customFormat="1" ht="13.5" customHeight="1">
      <c r="A153" s="22" t="s">
        <v>224</v>
      </c>
      <c r="B153" s="22"/>
      <c r="C153" s="22"/>
      <c r="D153" s="22"/>
      <c r="E153" s="22"/>
      <c r="F153" s="22"/>
      <c r="G153" s="22"/>
      <c r="H153" s="23" t="s">
        <v>225</v>
      </c>
      <c r="I153" s="23"/>
      <c r="J153" s="24" t="s">
        <v>36</v>
      </c>
      <c r="K153" s="24"/>
      <c r="L153" s="25" t="s">
        <v>49</v>
      </c>
      <c r="M153" s="25"/>
      <c r="N153" s="26" t="s">
        <v>49</v>
      </c>
      <c r="O153" s="26"/>
      <c r="P153" s="26"/>
      <c r="Q153" s="26"/>
      <c r="R153" s="26"/>
      <c r="S153" s="27" t="s">
        <v>49</v>
      </c>
      <c r="T153" s="27"/>
      <c r="U153" s="27"/>
    </row>
    <row r="154" spans="1:21" s="1" customFormat="1" ht="13.5" customHeight="1">
      <c r="A154" s="11" t="s">
        <v>10</v>
      </c>
      <c r="B154" s="11"/>
      <c r="C154" s="11"/>
      <c r="D154" s="11"/>
      <c r="E154" s="11"/>
      <c r="F154" s="11"/>
      <c r="G154" s="11"/>
      <c r="H154" s="12" t="s">
        <v>225</v>
      </c>
      <c r="I154" s="12"/>
      <c r="J154" s="12" t="s">
        <v>10</v>
      </c>
      <c r="K154" s="12"/>
      <c r="L154" s="17" t="s">
        <v>49</v>
      </c>
      <c r="M154" s="17"/>
      <c r="N154" s="14" t="s">
        <v>49</v>
      </c>
      <c r="O154" s="14"/>
      <c r="P154" s="14"/>
      <c r="Q154" s="14"/>
      <c r="R154" s="14"/>
      <c r="S154" s="18" t="s">
        <v>49</v>
      </c>
      <c r="T154" s="18"/>
      <c r="U154" s="18"/>
    </row>
    <row r="155" spans="1:21" s="1" customFormat="1" ht="13.5" customHeight="1">
      <c r="A155" s="11" t="s">
        <v>226</v>
      </c>
      <c r="B155" s="11"/>
      <c r="C155" s="11"/>
      <c r="D155" s="11"/>
      <c r="E155" s="11"/>
      <c r="F155" s="11"/>
      <c r="G155" s="11"/>
      <c r="H155" s="19" t="s">
        <v>227</v>
      </c>
      <c r="I155" s="19"/>
      <c r="J155" s="19" t="s">
        <v>36</v>
      </c>
      <c r="K155" s="19"/>
      <c r="L155" s="20" t="s">
        <v>49</v>
      </c>
      <c r="M155" s="20"/>
      <c r="N155" s="14" t="s">
        <v>49</v>
      </c>
      <c r="O155" s="14"/>
      <c r="P155" s="14"/>
      <c r="Q155" s="14"/>
      <c r="R155" s="14"/>
      <c r="S155" s="21" t="s">
        <v>49</v>
      </c>
      <c r="T155" s="21"/>
      <c r="U155" s="21"/>
    </row>
    <row r="156" spans="1:21" s="1" customFormat="1" ht="13.5" customHeight="1">
      <c r="A156" s="11" t="s">
        <v>10</v>
      </c>
      <c r="B156" s="11"/>
      <c r="C156" s="11"/>
      <c r="D156" s="11"/>
      <c r="E156" s="11"/>
      <c r="F156" s="11"/>
      <c r="G156" s="11"/>
      <c r="H156" s="12" t="s">
        <v>227</v>
      </c>
      <c r="I156" s="12"/>
      <c r="J156" s="12" t="s">
        <v>10</v>
      </c>
      <c r="K156" s="12"/>
      <c r="L156" s="17" t="s">
        <v>49</v>
      </c>
      <c r="M156" s="17"/>
      <c r="N156" s="14" t="s">
        <v>49</v>
      </c>
      <c r="O156" s="14"/>
      <c r="P156" s="14"/>
      <c r="Q156" s="14"/>
      <c r="R156" s="14"/>
      <c r="S156" s="18" t="s">
        <v>49</v>
      </c>
      <c r="T156" s="18"/>
      <c r="U156" s="18"/>
    </row>
    <row r="157" spans="1:21" s="1" customFormat="1" ht="13.5" customHeight="1">
      <c r="A157" s="11" t="s">
        <v>228</v>
      </c>
      <c r="B157" s="11"/>
      <c r="C157" s="11"/>
      <c r="D157" s="11"/>
      <c r="E157" s="11"/>
      <c r="F157" s="11"/>
      <c r="G157" s="11"/>
      <c r="H157" s="12" t="s">
        <v>229</v>
      </c>
      <c r="I157" s="12"/>
      <c r="J157" s="12" t="s">
        <v>230</v>
      </c>
      <c r="K157" s="12"/>
      <c r="L157" s="13">
        <f>13061468.17</f>
        <v>13061468.17</v>
      </c>
      <c r="M157" s="13"/>
      <c r="N157" s="14" t="s">
        <v>49</v>
      </c>
      <c r="O157" s="14"/>
      <c r="P157" s="14"/>
      <c r="Q157" s="14"/>
      <c r="R157" s="14"/>
      <c r="S157" s="16">
        <f>13061468.17</f>
        <v>13061468.17</v>
      </c>
      <c r="T157" s="16"/>
      <c r="U157" s="16"/>
    </row>
    <row r="158" spans="1:21" s="1" customFormat="1" ht="13.5" customHeight="1">
      <c r="A158" s="11" t="s">
        <v>231</v>
      </c>
      <c r="B158" s="11"/>
      <c r="C158" s="11"/>
      <c r="D158" s="11"/>
      <c r="E158" s="11"/>
      <c r="F158" s="11"/>
      <c r="G158" s="11"/>
      <c r="H158" s="12" t="s">
        <v>232</v>
      </c>
      <c r="I158" s="12"/>
      <c r="J158" s="12" t="s">
        <v>233</v>
      </c>
      <c r="K158" s="12"/>
      <c r="L158" s="13">
        <f>-132966869.98</f>
        <v>-132966869.98</v>
      </c>
      <c r="M158" s="13"/>
      <c r="N158" s="14" t="s">
        <v>49</v>
      </c>
      <c r="O158" s="14"/>
      <c r="P158" s="14"/>
      <c r="Q158" s="14"/>
      <c r="R158" s="14"/>
      <c r="S158" s="15" t="s">
        <v>36</v>
      </c>
      <c r="T158" s="15"/>
      <c r="U158" s="15"/>
    </row>
    <row r="159" spans="1:21" s="1" customFormat="1" ht="13.5" customHeight="1">
      <c r="A159" s="11" t="s">
        <v>234</v>
      </c>
      <c r="B159" s="11"/>
      <c r="C159" s="11"/>
      <c r="D159" s="11"/>
      <c r="E159" s="11"/>
      <c r="F159" s="11"/>
      <c r="G159" s="11"/>
      <c r="H159" s="12" t="s">
        <v>235</v>
      </c>
      <c r="I159" s="12"/>
      <c r="J159" s="12" t="s">
        <v>236</v>
      </c>
      <c r="K159" s="12"/>
      <c r="L159" s="13">
        <f>146028338.15</f>
        <v>146028338.15</v>
      </c>
      <c r="M159" s="13"/>
      <c r="N159" s="14" t="s">
        <v>49</v>
      </c>
      <c r="O159" s="14"/>
      <c r="P159" s="14"/>
      <c r="Q159" s="14"/>
      <c r="R159" s="14"/>
      <c r="S159" s="15" t="s">
        <v>36</v>
      </c>
      <c r="T159" s="15"/>
      <c r="U159" s="15"/>
    </row>
    <row r="160" spans="1:21" s="1" customFormat="1" ht="13.5" customHeight="1">
      <c r="A160" s="8" t="s">
        <v>10</v>
      </c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</row>
  </sheetData>
  <sheetProtection/>
  <mergeCells count="1002">
    <mergeCell ref="A1:T1"/>
    <mergeCell ref="A2:T2"/>
    <mergeCell ref="A3:Q3"/>
    <mergeCell ref="R3:T3"/>
    <mergeCell ref="A4:C5"/>
    <mergeCell ref="D4:P5"/>
    <mergeCell ref="Q4:T4"/>
    <mergeCell ref="Q5:T5"/>
    <mergeCell ref="A6:D6"/>
    <mergeCell ref="E6:P6"/>
    <mergeCell ref="Q6:T6"/>
    <mergeCell ref="B7:T7"/>
    <mergeCell ref="A8:B8"/>
    <mergeCell ref="C8:O8"/>
    <mergeCell ref="P8:T8"/>
    <mergeCell ref="A9:U9"/>
    <mergeCell ref="A10:G10"/>
    <mergeCell ref="H10:I10"/>
    <mergeCell ref="J10:K10"/>
    <mergeCell ref="L10:M10"/>
    <mergeCell ref="N10:R10"/>
    <mergeCell ref="S10:U10"/>
    <mergeCell ref="A11:G11"/>
    <mergeCell ref="H11:I11"/>
    <mergeCell ref="J11:K11"/>
    <mergeCell ref="L11:M11"/>
    <mergeCell ref="N11:R11"/>
    <mergeCell ref="S11:U11"/>
    <mergeCell ref="A12:G12"/>
    <mergeCell ref="H12:I12"/>
    <mergeCell ref="J12:K12"/>
    <mergeCell ref="L12:M12"/>
    <mergeCell ref="N12:R12"/>
    <mergeCell ref="S12:U12"/>
    <mergeCell ref="A13:G13"/>
    <mergeCell ref="H13:I13"/>
    <mergeCell ref="J13:K13"/>
    <mergeCell ref="L13:M13"/>
    <mergeCell ref="N13:R13"/>
    <mergeCell ref="S13:U13"/>
    <mergeCell ref="A14:G14"/>
    <mergeCell ref="H14:I14"/>
    <mergeCell ref="J14:K14"/>
    <mergeCell ref="L14:M14"/>
    <mergeCell ref="N14:R14"/>
    <mergeCell ref="S14:U14"/>
    <mergeCell ref="A15:G15"/>
    <mergeCell ref="H15:I15"/>
    <mergeCell ref="J15:K15"/>
    <mergeCell ref="L15:M15"/>
    <mergeCell ref="N15:R15"/>
    <mergeCell ref="S15:U15"/>
    <mergeCell ref="A16:G16"/>
    <mergeCell ref="H16:I16"/>
    <mergeCell ref="J16:K16"/>
    <mergeCell ref="L16:M16"/>
    <mergeCell ref="N16:R16"/>
    <mergeCell ref="S16:U16"/>
    <mergeCell ref="A17:G17"/>
    <mergeCell ref="H17:I17"/>
    <mergeCell ref="J17:K17"/>
    <mergeCell ref="L17:M17"/>
    <mergeCell ref="N17:R17"/>
    <mergeCell ref="S17:U17"/>
    <mergeCell ref="A18:G18"/>
    <mergeCell ref="H18:I18"/>
    <mergeCell ref="J18:K18"/>
    <mergeCell ref="L18:M18"/>
    <mergeCell ref="N18:R18"/>
    <mergeCell ref="S18:U18"/>
    <mergeCell ref="A19:G19"/>
    <mergeCell ref="H19:I19"/>
    <mergeCell ref="J19:K19"/>
    <mergeCell ref="L19:M19"/>
    <mergeCell ref="N19:R19"/>
    <mergeCell ref="S19:U19"/>
    <mergeCell ref="A20:G20"/>
    <mergeCell ref="H20:I20"/>
    <mergeCell ref="J20:K20"/>
    <mergeCell ref="L20:M20"/>
    <mergeCell ref="N20:R20"/>
    <mergeCell ref="S20:U20"/>
    <mergeCell ref="A21:G21"/>
    <mergeCell ref="H21:I21"/>
    <mergeCell ref="J21:K21"/>
    <mergeCell ref="L21:M21"/>
    <mergeCell ref="N21:R21"/>
    <mergeCell ref="S21:U21"/>
    <mergeCell ref="A22:G22"/>
    <mergeCell ref="H22:I22"/>
    <mergeCell ref="J22:K22"/>
    <mergeCell ref="L22:M22"/>
    <mergeCell ref="N22:R22"/>
    <mergeCell ref="S22:U22"/>
    <mergeCell ref="A23:G23"/>
    <mergeCell ref="H23:I23"/>
    <mergeCell ref="J23:K23"/>
    <mergeCell ref="L23:M23"/>
    <mergeCell ref="N23:R23"/>
    <mergeCell ref="S23:U23"/>
    <mergeCell ref="A24:G24"/>
    <mergeCell ref="H24:I24"/>
    <mergeCell ref="J24:K24"/>
    <mergeCell ref="L24:M24"/>
    <mergeCell ref="N24:R24"/>
    <mergeCell ref="S24:U24"/>
    <mergeCell ref="A25:G25"/>
    <mergeCell ref="H25:I25"/>
    <mergeCell ref="J25:K25"/>
    <mergeCell ref="L25:M25"/>
    <mergeCell ref="N25:R25"/>
    <mergeCell ref="S25:U25"/>
    <mergeCell ref="A26:G26"/>
    <mergeCell ref="H26:I26"/>
    <mergeCell ref="J26:K26"/>
    <mergeCell ref="L26:M26"/>
    <mergeCell ref="N26:R26"/>
    <mergeCell ref="S26:U26"/>
    <mergeCell ref="A27:G27"/>
    <mergeCell ref="H27:I27"/>
    <mergeCell ref="J27:K27"/>
    <mergeCell ref="L27:M27"/>
    <mergeCell ref="N27:R27"/>
    <mergeCell ref="S27:U27"/>
    <mergeCell ref="A28:G28"/>
    <mergeCell ref="H28:I28"/>
    <mergeCell ref="J28:K28"/>
    <mergeCell ref="L28:M28"/>
    <mergeCell ref="N28:R28"/>
    <mergeCell ref="S28:U28"/>
    <mergeCell ref="A29:G29"/>
    <mergeCell ref="H29:I29"/>
    <mergeCell ref="J29:K29"/>
    <mergeCell ref="L29:M29"/>
    <mergeCell ref="N29:R29"/>
    <mergeCell ref="S29:U29"/>
    <mergeCell ref="A30:G30"/>
    <mergeCell ref="H30:I30"/>
    <mergeCell ref="J30:K30"/>
    <mergeCell ref="L30:M30"/>
    <mergeCell ref="N30:R30"/>
    <mergeCell ref="S30:U30"/>
    <mergeCell ref="A31:G31"/>
    <mergeCell ref="H31:I31"/>
    <mergeCell ref="J31:K31"/>
    <mergeCell ref="L31:M31"/>
    <mergeCell ref="N31:R31"/>
    <mergeCell ref="S31:U31"/>
    <mergeCell ref="A32:G32"/>
    <mergeCell ref="H32:I32"/>
    <mergeCell ref="J32:K32"/>
    <mergeCell ref="L32:M32"/>
    <mergeCell ref="N32:R32"/>
    <mergeCell ref="S32:U32"/>
    <mergeCell ref="A33:G33"/>
    <mergeCell ref="H33:I33"/>
    <mergeCell ref="J33:K33"/>
    <mergeCell ref="L33:M33"/>
    <mergeCell ref="N33:R33"/>
    <mergeCell ref="S33:U33"/>
    <mergeCell ref="A34:G34"/>
    <mergeCell ref="H34:I34"/>
    <mergeCell ref="J34:K34"/>
    <mergeCell ref="L34:M34"/>
    <mergeCell ref="N34:R34"/>
    <mergeCell ref="S34:U34"/>
    <mergeCell ref="A35:G35"/>
    <mergeCell ref="H35:I35"/>
    <mergeCell ref="J35:K35"/>
    <mergeCell ref="L35:M35"/>
    <mergeCell ref="N35:R35"/>
    <mergeCell ref="S35:U35"/>
    <mergeCell ref="A36:G36"/>
    <mergeCell ref="H36:I36"/>
    <mergeCell ref="J36:K36"/>
    <mergeCell ref="L36:M36"/>
    <mergeCell ref="N36:R36"/>
    <mergeCell ref="S36:U36"/>
    <mergeCell ref="A37:G37"/>
    <mergeCell ref="H37:I37"/>
    <mergeCell ref="J37:K37"/>
    <mergeCell ref="L37:M37"/>
    <mergeCell ref="N37:R37"/>
    <mergeCell ref="S37:U37"/>
    <mergeCell ref="A38:G38"/>
    <mergeCell ref="H38:I38"/>
    <mergeCell ref="J38:K38"/>
    <mergeCell ref="L38:M38"/>
    <mergeCell ref="N38:R38"/>
    <mergeCell ref="S38:U38"/>
    <mergeCell ref="A39:G39"/>
    <mergeCell ref="H39:I39"/>
    <mergeCell ref="J39:K39"/>
    <mergeCell ref="L39:M39"/>
    <mergeCell ref="N39:R39"/>
    <mergeCell ref="S39:U39"/>
    <mergeCell ref="A40:U40"/>
    <mergeCell ref="A41:U41"/>
    <mergeCell ref="A42:F42"/>
    <mergeCell ref="G42:H42"/>
    <mergeCell ref="I42:J42"/>
    <mergeCell ref="K42:L42"/>
    <mergeCell ref="M42:N42"/>
    <mergeCell ref="O42:S42"/>
    <mergeCell ref="T42:U42"/>
    <mergeCell ref="O44:S44"/>
    <mergeCell ref="T44:U44"/>
    <mergeCell ref="A43:F43"/>
    <mergeCell ref="G43:H43"/>
    <mergeCell ref="I43:J43"/>
    <mergeCell ref="K43:L43"/>
    <mergeCell ref="M43:N43"/>
    <mergeCell ref="O43:S43"/>
    <mergeCell ref="I45:J45"/>
    <mergeCell ref="K45:L45"/>
    <mergeCell ref="M45:N45"/>
    <mergeCell ref="O45:S45"/>
    <mergeCell ref="T43:U43"/>
    <mergeCell ref="A44:F44"/>
    <mergeCell ref="G44:H44"/>
    <mergeCell ref="I44:J44"/>
    <mergeCell ref="K44:L44"/>
    <mergeCell ref="M44:N44"/>
    <mergeCell ref="T45:U45"/>
    <mergeCell ref="A46:F46"/>
    <mergeCell ref="G46:H46"/>
    <mergeCell ref="I46:J46"/>
    <mergeCell ref="K46:L46"/>
    <mergeCell ref="M46:N46"/>
    <mergeCell ref="O46:S46"/>
    <mergeCell ref="T46:U46"/>
    <mergeCell ref="A45:F45"/>
    <mergeCell ref="G45:H45"/>
    <mergeCell ref="O48:S48"/>
    <mergeCell ref="T48:U48"/>
    <mergeCell ref="A47:F47"/>
    <mergeCell ref="G47:H47"/>
    <mergeCell ref="I47:J47"/>
    <mergeCell ref="K47:L47"/>
    <mergeCell ref="M47:N47"/>
    <mergeCell ref="O47:S47"/>
    <mergeCell ref="I49:J49"/>
    <mergeCell ref="K49:L49"/>
    <mergeCell ref="M49:N49"/>
    <mergeCell ref="O49:S49"/>
    <mergeCell ref="T47:U47"/>
    <mergeCell ref="A48:F48"/>
    <mergeCell ref="G48:H48"/>
    <mergeCell ref="I48:J48"/>
    <mergeCell ref="K48:L48"/>
    <mergeCell ref="M48:N48"/>
    <mergeCell ref="T49:U49"/>
    <mergeCell ref="A50:F50"/>
    <mergeCell ref="G50:H50"/>
    <mergeCell ref="I50:J50"/>
    <mergeCell ref="K50:L50"/>
    <mergeCell ref="M50:N50"/>
    <mergeCell ref="O50:S50"/>
    <mergeCell ref="T50:U50"/>
    <mergeCell ref="A49:F49"/>
    <mergeCell ref="G49:H49"/>
    <mergeCell ref="O52:S52"/>
    <mergeCell ref="T52:U52"/>
    <mergeCell ref="A51:F51"/>
    <mergeCell ref="G51:H51"/>
    <mergeCell ref="I51:J51"/>
    <mergeCell ref="K51:L51"/>
    <mergeCell ref="M51:N51"/>
    <mergeCell ref="O51:S51"/>
    <mergeCell ref="I53:J53"/>
    <mergeCell ref="K53:L53"/>
    <mergeCell ref="M53:N53"/>
    <mergeCell ref="O53:S53"/>
    <mergeCell ref="T51:U51"/>
    <mergeCell ref="A52:F52"/>
    <mergeCell ref="G52:H52"/>
    <mergeCell ref="I52:J52"/>
    <mergeCell ref="K52:L52"/>
    <mergeCell ref="M52:N52"/>
    <mergeCell ref="T53:U53"/>
    <mergeCell ref="A54:F54"/>
    <mergeCell ref="G54:H54"/>
    <mergeCell ref="I54:J54"/>
    <mergeCell ref="K54:L54"/>
    <mergeCell ref="M54:N54"/>
    <mergeCell ref="O54:S54"/>
    <mergeCell ref="T54:U54"/>
    <mergeCell ref="A53:F53"/>
    <mergeCell ref="G53:H53"/>
    <mergeCell ref="O56:S56"/>
    <mergeCell ref="T56:U56"/>
    <mergeCell ref="A55:F55"/>
    <mergeCell ref="G55:H55"/>
    <mergeCell ref="I55:J55"/>
    <mergeCell ref="K55:L55"/>
    <mergeCell ref="M55:N55"/>
    <mergeCell ref="O55:S55"/>
    <mergeCell ref="I57:J57"/>
    <mergeCell ref="K57:L57"/>
    <mergeCell ref="M57:N57"/>
    <mergeCell ref="O57:S57"/>
    <mergeCell ref="T55:U55"/>
    <mergeCell ref="A56:F56"/>
    <mergeCell ref="G56:H56"/>
    <mergeCell ref="I56:J56"/>
    <mergeCell ref="K56:L56"/>
    <mergeCell ref="M56:N56"/>
    <mergeCell ref="T57:U57"/>
    <mergeCell ref="A58:F58"/>
    <mergeCell ref="G58:H58"/>
    <mergeCell ref="I58:J58"/>
    <mergeCell ref="K58:L58"/>
    <mergeCell ref="M58:N58"/>
    <mergeCell ref="O58:S58"/>
    <mergeCell ref="T58:U58"/>
    <mergeCell ref="A57:F57"/>
    <mergeCell ref="G57:H57"/>
    <mergeCell ref="O60:S60"/>
    <mergeCell ref="T60:U60"/>
    <mergeCell ref="A59:F59"/>
    <mergeCell ref="G59:H59"/>
    <mergeCell ref="I59:J59"/>
    <mergeCell ref="K59:L59"/>
    <mergeCell ref="M59:N59"/>
    <mergeCell ref="O59:S59"/>
    <mergeCell ref="I61:J61"/>
    <mergeCell ref="K61:L61"/>
    <mergeCell ref="M61:N61"/>
    <mergeCell ref="O61:S61"/>
    <mergeCell ref="T59:U59"/>
    <mergeCell ref="A60:F60"/>
    <mergeCell ref="G60:H60"/>
    <mergeCell ref="I60:J60"/>
    <mergeCell ref="K60:L60"/>
    <mergeCell ref="M60:N60"/>
    <mergeCell ref="T61:U61"/>
    <mergeCell ref="A62:F62"/>
    <mergeCell ref="G62:H62"/>
    <mergeCell ref="I62:J62"/>
    <mergeCell ref="K62:L62"/>
    <mergeCell ref="M62:N62"/>
    <mergeCell ref="O62:S62"/>
    <mergeCell ref="T62:U62"/>
    <mergeCell ref="A61:F61"/>
    <mergeCell ref="G61:H61"/>
    <mergeCell ref="O64:S64"/>
    <mergeCell ref="T64:U64"/>
    <mergeCell ref="A63:F63"/>
    <mergeCell ref="G63:H63"/>
    <mergeCell ref="I63:J63"/>
    <mergeCell ref="K63:L63"/>
    <mergeCell ref="M63:N63"/>
    <mergeCell ref="O63:S63"/>
    <mergeCell ref="I65:J65"/>
    <mergeCell ref="K65:L65"/>
    <mergeCell ref="M65:N65"/>
    <mergeCell ref="O65:S65"/>
    <mergeCell ref="T63:U63"/>
    <mergeCell ref="A64:F64"/>
    <mergeCell ref="G64:H64"/>
    <mergeCell ref="I64:J64"/>
    <mergeCell ref="K64:L64"/>
    <mergeCell ref="M64:N64"/>
    <mergeCell ref="T65:U65"/>
    <mergeCell ref="A66:F66"/>
    <mergeCell ref="G66:H66"/>
    <mergeCell ref="I66:J66"/>
    <mergeCell ref="K66:L66"/>
    <mergeCell ref="M66:N66"/>
    <mergeCell ref="O66:S66"/>
    <mergeCell ref="T66:U66"/>
    <mergeCell ref="A65:F65"/>
    <mergeCell ref="G65:H65"/>
    <mergeCell ref="O68:S68"/>
    <mergeCell ref="T68:U68"/>
    <mergeCell ref="A67:F67"/>
    <mergeCell ref="G67:H67"/>
    <mergeCell ref="I67:J67"/>
    <mergeCell ref="K67:L67"/>
    <mergeCell ref="M67:N67"/>
    <mergeCell ref="O67:S67"/>
    <mergeCell ref="I69:J69"/>
    <mergeCell ref="K69:L69"/>
    <mergeCell ref="M69:N69"/>
    <mergeCell ref="O69:S69"/>
    <mergeCell ref="T67:U67"/>
    <mergeCell ref="A68:F68"/>
    <mergeCell ref="G68:H68"/>
    <mergeCell ref="I68:J68"/>
    <mergeCell ref="K68:L68"/>
    <mergeCell ref="M68:N68"/>
    <mergeCell ref="T69:U69"/>
    <mergeCell ref="A70:F70"/>
    <mergeCell ref="G70:H70"/>
    <mergeCell ref="I70:J70"/>
    <mergeCell ref="K70:L70"/>
    <mergeCell ref="M70:N70"/>
    <mergeCell ref="O70:S70"/>
    <mergeCell ref="T70:U70"/>
    <mergeCell ref="A69:F69"/>
    <mergeCell ref="G69:H69"/>
    <mergeCell ref="O72:S72"/>
    <mergeCell ref="T72:U72"/>
    <mergeCell ref="A71:F71"/>
    <mergeCell ref="G71:H71"/>
    <mergeCell ref="I71:J71"/>
    <mergeCell ref="K71:L71"/>
    <mergeCell ref="M71:N71"/>
    <mergeCell ref="O71:S71"/>
    <mergeCell ref="I73:J73"/>
    <mergeCell ref="K73:L73"/>
    <mergeCell ref="M73:N73"/>
    <mergeCell ref="O73:S73"/>
    <mergeCell ref="T71:U71"/>
    <mergeCell ref="A72:F72"/>
    <mergeCell ref="G72:H72"/>
    <mergeCell ref="I72:J72"/>
    <mergeCell ref="K72:L72"/>
    <mergeCell ref="M72:N72"/>
    <mergeCell ref="T73:U73"/>
    <mergeCell ref="A74:F74"/>
    <mergeCell ref="G74:H74"/>
    <mergeCell ref="I74:J74"/>
    <mergeCell ref="K74:L74"/>
    <mergeCell ref="M74:N74"/>
    <mergeCell ref="O74:S74"/>
    <mergeCell ref="T74:U74"/>
    <mergeCell ref="A73:F73"/>
    <mergeCell ref="G73:H73"/>
    <mergeCell ref="O76:S76"/>
    <mergeCell ref="T76:U76"/>
    <mergeCell ref="A75:F75"/>
    <mergeCell ref="G75:H75"/>
    <mergeCell ref="I75:J75"/>
    <mergeCell ref="K75:L75"/>
    <mergeCell ref="M75:N75"/>
    <mergeCell ref="O75:S75"/>
    <mergeCell ref="I77:J77"/>
    <mergeCell ref="K77:L77"/>
    <mergeCell ref="M77:N77"/>
    <mergeCell ref="O77:S77"/>
    <mergeCell ref="T75:U75"/>
    <mergeCell ref="A76:F76"/>
    <mergeCell ref="G76:H76"/>
    <mergeCell ref="I76:J76"/>
    <mergeCell ref="K76:L76"/>
    <mergeCell ref="M76:N76"/>
    <mergeCell ref="T77:U77"/>
    <mergeCell ref="A78:F78"/>
    <mergeCell ref="G78:H78"/>
    <mergeCell ref="I78:J78"/>
    <mergeCell ref="K78:L78"/>
    <mergeCell ref="M78:N78"/>
    <mergeCell ref="O78:S78"/>
    <mergeCell ref="T78:U78"/>
    <mergeCell ref="A77:F77"/>
    <mergeCell ref="G77:H77"/>
    <mergeCell ref="O80:S80"/>
    <mergeCell ref="T80:U80"/>
    <mergeCell ref="A79:F79"/>
    <mergeCell ref="G79:H79"/>
    <mergeCell ref="I79:J79"/>
    <mergeCell ref="K79:L79"/>
    <mergeCell ref="M79:N79"/>
    <mergeCell ref="O79:S79"/>
    <mergeCell ref="I81:J81"/>
    <mergeCell ref="K81:L81"/>
    <mergeCell ref="M81:N81"/>
    <mergeCell ref="O81:S81"/>
    <mergeCell ref="T79:U79"/>
    <mergeCell ref="A80:F80"/>
    <mergeCell ref="G80:H80"/>
    <mergeCell ref="I80:J80"/>
    <mergeCell ref="K80:L80"/>
    <mergeCell ref="M80:N80"/>
    <mergeCell ref="T81:U81"/>
    <mergeCell ref="A82:F82"/>
    <mergeCell ref="G82:H82"/>
    <mergeCell ref="I82:J82"/>
    <mergeCell ref="K82:L82"/>
    <mergeCell ref="M82:N82"/>
    <mergeCell ref="O82:S82"/>
    <mergeCell ref="T82:U82"/>
    <mergeCell ref="A81:F81"/>
    <mergeCell ref="G81:H81"/>
    <mergeCell ref="O84:S84"/>
    <mergeCell ref="T84:U84"/>
    <mergeCell ref="A83:F83"/>
    <mergeCell ref="G83:H83"/>
    <mergeCell ref="I83:J83"/>
    <mergeCell ref="K83:L83"/>
    <mergeCell ref="M83:N83"/>
    <mergeCell ref="O83:S83"/>
    <mergeCell ref="I85:J85"/>
    <mergeCell ref="K85:L85"/>
    <mergeCell ref="M85:N85"/>
    <mergeCell ref="O85:S85"/>
    <mergeCell ref="T83:U83"/>
    <mergeCell ref="A84:F84"/>
    <mergeCell ref="G84:H84"/>
    <mergeCell ref="I84:J84"/>
    <mergeCell ref="K84:L84"/>
    <mergeCell ref="M84:N84"/>
    <mergeCell ref="T85:U85"/>
    <mergeCell ref="A86:F86"/>
    <mergeCell ref="G86:H86"/>
    <mergeCell ref="I86:J86"/>
    <mergeCell ref="K86:L86"/>
    <mergeCell ref="M86:N86"/>
    <mergeCell ref="O86:S86"/>
    <mergeCell ref="T86:U86"/>
    <mergeCell ref="A85:F85"/>
    <mergeCell ref="G85:H85"/>
    <mergeCell ref="O88:S88"/>
    <mergeCell ref="T88:U88"/>
    <mergeCell ref="A87:F87"/>
    <mergeCell ref="G87:H87"/>
    <mergeCell ref="I87:J87"/>
    <mergeCell ref="K87:L87"/>
    <mergeCell ref="M87:N87"/>
    <mergeCell ref="O87:S87"/>
    <mergeCell ref="I89:J89"/>
    <mergeCell ref="K89:L89"/>
    <mergeCell ref="M89:N89"/>
    <mergeCell ref="O89:S89"/>
    <mergeCell ref="T87:U87"/>
    <mergeCell ref="A88:F88"/>
    <mergeCell ref="G88:H88"/>
    <mergeCell ref="I88:J88"/>
    <mergeCell ref="K88:L88"/>
    <mergeCell ref="M88:N88"/>
    <mergeCell ref="T89:U89"/>
    <mergeCell ref="A90:F90"/>
    <mergeCell ref="G90:H90"/>
    <mergeCell ref="I90:J90"/>
    <mergeCell ref="K90:L90"/>
    <mergeCell ref="M90:N90"/>
    <mergeCell ref="O90:S90"/>
    <mergeCell ref="T90:U90"/>
    <mergeCell ref="A89:F89"/>
    <mergeCell ref="G89:H89"/>
    <mergeCell ref="O92:S92"/>
    <mergeCell ref="T92:U92"/>
    <mergeCell ref="A91:F91"/>
    <mergeCell ref="G91:H91"/>
    <mergeCell ref="I91:J91"/>
    <mergeCell ref="K91:L91"/>
    <mergeCell ref="M91:N91"/>
    <mergeCell ref="O91:S91"/>
    <mergeCell ref="I93:J93"/>
    <mergeCell ref="K93:L93"/>
    <mergeCell ref="M93:N93"/>
    <mergeCell ref="O93:S93"/>
    <mergeCell ref="T91:U91"/>
    <mergeCell ref="A92:F92"/>
    <mergeCell ref="G92:H92"/>
    <mergeCell ref="I92:J92"/>
    <mergeCell ref="K92:L92"/>
    <mergeCell ref="M92:N92"/>
    <mergeCell ref="T93:U93"/>
    <mergeCell ref="A94:F94"/>
    <mergeCell ref="G94:H94"/>
    <mergeCell ref="I94:J94"/>
    <mergeCell ref="K94:L94"/>
    <mergeCell ref="M94:N94"/>
    <mergeCell ref="O94:S94"/>
    <mergeCell ref="T94:U94"/>
    <mergeCell ref="A93:F93"/>
    <mergeCell ref="G93:H93"/>
    <mergeCell ref="O96:S96"/>
    <mergeCell ref="T96:U96"/>
    <mergeCell ref="A95:F95"/>
    <mergeCell ref="G95:H95"/>
    <mergeCell ref="I95:J95"/>
    <mergeCell ref="K95:L95"/>
    <mergeCell ref="M95:N95"/>
    <mergeCell ref="O95:S95"/>
    <mergeCell ref="I97:J97"/>
    <mergeCell ref="K97:L97"/>
    <mergeCell ref="M97:N97"/>
    <mergeCell ref="O97:S97"/>
    <mergeCell ref="T95:U95"/>
    <mergeCell ref="A96:F96"/>
    <mergeCell ref="G96:H96"/>
    <mergeCell ref="I96:J96"/>
    <mergeCell ref="K96:L96"/>
    <mergeCell ref="M96:N96"/>
    <mergeCell ref="T97:U97"/>
    <mergeCell ref="A98:F98"/>
    <mergeCell ref="G98:H98"/>
    <mergeCell ref="I98:J98"/>
    <mergeCell ref="K98:L98"/>
    <mergeCell ref="M98:N98"/>
    <mergeCell ref="O98:S98"/>
    <mergeCell ref="T98:U98"/>
    <mergeCell ref="A97:F97"/>
    <mergeCell ref="G97:H97"/>
    <mergeCell ref="O100:S100"/>
    <mergeCell ref="T100:U100"/>
    <mergeCell ref="A99:F99"/>
    <mergeCell ref="G99:H99"/>
    <mergeCell ref="I99:J99"/>
    <mergeCell ref="K99:L99"/>
    <mergeCell ref="M99:N99"/>
    <mergeCell ref="O99:S99"/>
    <mergeCell ref="I101:J101"/>
    <mergeCell ref="K101:L101"/>
    <mergeCell ref="M101:N101"/>
    <mergeCell ref="O101:S101"/>
    <mergeCell ref="T99:U99"/>
    <mergeCell ref="A100:F100"/>
    <mergeCell ref="G100:H100"/>
    <mergeCell ref="I100:J100"/>
    <mergeCell ref="K100:L100"/>
    <mergeCell ref="M100:N100"/>
    <mergeCell ref="T101:U101"/>
    <mergeCell ref="A102:F102"/>
    <mergeCell ref="G102:H102"/>
    <mergeCell ref="I102:J102"/>
    <mergeCell ref="K102:L102"/>
    <mergeCell ref="M102:N102"/>
    <mergeCell ref="O102:S102"/>
    <mergeCell ref="T102:U102"/>
    <mergeCell ref="A101:F101"/>
    <mergeCell ref="G101:H101"/>
    <mergeCell ref="O104:S104"/>
    <mergeCell ref="T104:U104"/>
    <mergeCell ref="A103:F103"/>
    <mergeCell ref="G103:H103"/>
    <mergeCell ref="I103:J103"/>
    <mergeCell ref="K103:L103"/>
    <mergeCell ref="M103:N103"/>
    <mergeCell ref="O103:S103"/>
    <mergeCell ref="I105:J105"/>
    <mergeCell ref="K105:L105"/>
    <mergeCell ref="M105:N105"/>
    <mergeCell ref="O105:S105"/>
    <mergeCell ref="T103:U103"/>
    <mergeCell ref="A104:F104"/>
    <mergeCell ref="G104:H104"/>
    <mergeCell ref="I104:J104"/>
    <mergeCell ref="K104:L104"/>
    <mergeCell ref="M104:N104"/>
    <mergeCell ref="T105:U105"/>
    <mergeCell ref="A106:F106"/>
    <mergeCell ref="G106:H106"/>
    <mergeCell ref="I106:J106"/>
    <mergeCell ref="K106:L106"/>
    <mergeCell ref="M106:N106"/>
    <mergeCell ref="O106:S106"/>
    <mergeCell ref="T106:U106"/>
    <mergeCell ref="A105:F105"/>
    <mergeCell ref="G105:H105"/>
    <mergeCell ref="O108:S108"/>
    <mergeCell ref="T108:U108"/>
    <mergeCell ref="A107:F107"/>
    <mergeCell ref="G107:H107"/>
    <mergeCell ref="I107:J107"/>
    <mergeCell ref="K107:L107"/>
    <mergeCell ref="M107:N107"/>
    <mergeCell ref="O107:S107"/>
    <mergeCell ref="I109:J109"/>
    <mergeCell ref="K109:L109"/>
    <mergeCell ref="M109:N109"/>
    <mergeCell ref="O109:S109"/>
    <mergeCell ref="T107:U107"/>
    <mergeCell ref="A108:F108"/>
    <mergeCell ref="G108:H108"/>
    <mergeCell ref="I108:J108"/>
    <mergeCell ref="K108:L108"/>
    <mergeCell ref="M108:N108"/>
    <mergeCell ref="T109:U109"/>
    <mergeCell ref="A110:F110"/>
    <mergeCell ref="G110:H110"/>
    <mergeCell ref="I110:J110"/>
    <mergeCell ref="K110:L110"/>
    <mergeCell ref="M110:N110"/>
    <mergeCell ref="O110:S110"/>
    <mergeCell ref="T110:U110"/>
    <mergeCell ref="A109:F109"/>
    <mergeCell ref="G109:H109"/>
    <mergeCell ref="O112:S112"/>
    <mergeCell ref="T112:U112"/>
    <mergeCell ref="A111:F111"/>
    <mergeCell ref="G111:H111"/>
    <mergeCell ref="I111:J111"/>
    <mergeCell ref="K111:L111"/>
    <mergeCell ref="M111:N111"/>
    <mergeCell ref="O111:S111"/>
    <mergeCell ref="I113:J113"/>
    <mergeCell ref="K113:L113"/>
    <mergeCell ref="M113:N113"/>
    <mergeCell ref="O113:S113"/>
    <mergeCell ref="T111:U111"/>
    <mergeCell ref="A112:F112"/>
    <mergeCell ref="G112:H112"/>
    <mergeCell ref="I112:J112"/>
    <mergeCell ref="K112:L112"/>
    <mergeCell ref="M112:N112"/>
    <mergeCell ref="T113:U113"/>
    <mergeCell ref="A114:F114"/>
    <mergeCell ref="G114:H114"/>
    <mergeCell ref="I114:J114"/>
    <mergeCell ref="K114:L114"/>
    <mergeCell ref="M114:N114"/>
    <mergeCell ref="O114:S114"/>
    <mergeCell ref="T114:U114"/>
    <mergeCell ref="A113:F113"/>
    <mergeCell ref="G113:H113"/>
    <mergeCell ref="O116:S116"/>
    <mergeCell ref="T116:U116"/>
    <mergeCell ref="A115:F115"/>
    <mergeCell ref="G115:H115"/>
    <mergeCell ref="I115:J115"/>
    <mergeCell ref="K115:L115"/>
    <mergeCell ref="M115:N115"/>
    <mergeCell ref="O115:S115"/>
    <mergeCell ref="I117:J117"/>
    <mergeCell ref="K117:L117"/>
    <mergeCell ref="M117:N117"/>
    <mergeCell ref="O117:S117"/>
    <mergeCell ref="T115:U115"/>
    <mergeCell ref="A116:F116"/>
    <mergeCell ref="G116:H116"/>
    <mergeCell ref="I116:J116"/>
    <mergeCell ref="K116:L116"/>
    <mergeCell ref="M116:N116"/>
    <mergeCell ref="T117:U117"/>
    <mergeCell ref="A118:F118"/>
    <mergeCell ref="G118:H118"/>
    <mergeCell ref="I118:J118"/>
    <mergeCell ref="K118:L118"/>
    <mergeCell ref="M118:N118"/>
    <mergeCell ref="O118:S118"/>
    <mergeCell ref="T118:U118"/>
    <mergeCell ref="A117:F117"/>
    <mergeCell ref="G117:H117"/>
    <mergeCell ref="O120:S120"/>
    <mergeCell ref="T120:U120"/>
    <mergeCell ref="A119:F119"/>
    <mergeCell ref="G119:H119"/>
    <mergeCell ref="I119:J119"/>
    <mergeCell ref="K119:L119"/>
    <mergeCell ref="M119:N119"/>
    <mergeCell ref="O119:S119"/>
    <mergeCell ref="I121:J121"/>
    <mergeCell ref="K121:L121"/>
    <mergeCell ref="M121:N121"/>
    <mergeCell ref="O121:S121"/>
    <mergeCell ref="T119:U119"/>
    <mergeCell ref="A120:F120"/>
    <mergeCell ref="G120:H120"/>
    <mergeCell ref="I120:J120"/>
    <mergeCell ref="K120:L120"/>
    <mergeCell ref="M120:N120"/>
    <mergeCell ref="T121:U121"/>
    <mergeCell ref="A122:F122"/>
    <mergeCell ref="G122:H122"/>
    <mergeCell ref="I122:J122"/>
    <mergeCell ref="K122:L122"/>
    <mergeCell ref="M122:N122"/>
    <mergeCell ref="O122:S122"/>
    <mergeCell ref="T122:U122"/>
    <mergeCell ref="A121:F121"/>
    <mergeCell ref="G121:H121"/>
    <mergeCell ref="O124:S124"/>
    <mergeCell ref="T124:U124"/>
    <mergeCell ref="A123:F123"/>
    <mergeCell ref="G123:H123"/>
    <mergeCell ref="I123:J123"/>
    <mergeCell ref="K123:L123"/>
    <mergeCell ref="M123:N123"/>
    <mergeCell ref="O123:S123"/>
    <mergeCell ref="I125:J125"/>
    <mergeCell ref="K125:L125"/>
    <mergeCell ref="M125:N125"/>
    <mergeCell ref="O125:S125"/>
    <mergeCell ref="T123:U123"/>
    <mergeCell ref="A124:F124"/>
    <mergeCell ref="G124:H124"/>
    <mergeCell ref="I124:J124"/>
    <mergeCell ref="K124:L124"/>
    <mergeCell ref="M124:N124"/>
    <mergeCell ref="T125:U125"/>
    <mergeCell ref="A126:F126"/>
    <mergeCell ref="G126:H126"/>
    <mergeCell ref="I126:J126"/>
    <mergeCell ref="K126:L126"/>
    <mergeCell ref="M126:N126"/>
    <mergeCell ref="O126:S126"/>
    <mergeCell ref="T126:U126"/>
    <mergeCell ref="A125:F125"/>
    <mergeCell ref="G125:H125"/>
    <mergeCell ref="O128:S128"/>
    <mergeCell ref="T128:U128"/>
    <mergeCell ref="A127:F127"/>
    <mergeCell ref="G127:H127"/>
    <mergeCell ref="I127:J127"/>
    <mergeCell ref="K127:L127"/>
    <mergeCell ref="M127:N127"/>
    <mergeCell ref="O127:S127"/>
    <mergeCell ref="I129:J129"/>
    <mergeCell ref="K129:L129"/>
    <mergeCell ref="M129:N129"/>
    <mergeCell ref="O129:S129"/>
    <mergeCell ref="T127:U127"/>
    <mergeCell ref="A128:F128"/>
    <mergeCell ref="G128:H128"/>
    <mergeCell ref="I128:J128"/>
    <mergeCell ref="K128:L128"/>
    <mergeCell ref="M128:N128"/>
    <mergeCell ref="T129:U129"/>
    <mergeCell ref="A130:F130"/>
    <mergeCell ref="G130:H130"/>
    <mergeCell ref="I130:J130"/>
    <mergeCell ref="K130:L130"/>
    <mergeCell ref="M130:N130"/>
    <mergeCell ref="O130:S130"/>
    <mergeCell ref="T130:U130"/>
    <mergeCell ref="A129:F129"/>
    <mergeCell ref="G129:H129"/>
    <mergeCell ref="O132:S132"/>
    <mergeCell ref="T132:U132"/>
    <mergeCell ref="A131:F131"/>
    <mergeCell ref="G131:H131"/>
    <mergeCell ref="I131:J131"/>
    <mergeCell ref="K131:L131"/>
    <mergeCell ref="M131:N131"/>
    <mergeCell ref="O131:S131"/>
    <mergeCell ref="I133:J133"/>
    <mergeCell ref="K133:L133"/>
    <mergeCell ref="M133:N133"/>
    <mergeCell ref="O133:S133"/>
    <mergeCell ref="T131:U131"/>
    <mergeCell ref="A132:F132"/>
    <mergeCell ref="G132:H132"/>
    <mergeCell ref="I132:J132"/>
    <mergeCell ref="K132:L132"/>
    <mergeCell ref="M132:N132"/>
    <mergeCell ref="T133:U133"/>
    <mergeCell ref="A134:F134"/>
    <mergeCell ref="G134:H134"/>
    <mergeCell ref="I134:J134"/>
    <mergeCell ref="K134:L134"/>
    <mergeCell ref="M134:N134"/>
    <mergeCell ref="O134:S134"/>
    <mergeCell ref="T134:U134"/>
    <mergeCell ref="A133:F133"/>
    <mergeCell ref="G133:H133"/>
    <mergeCell ref="O136:S136"/>
    <mergeCell ref="T136:U136"/>
    <mergeCell ref="A135:F135"/>
    <mergeCell ref="G135:H135"/>
    <mergeCell ref="I135:J135"/>
    <mergeCell ref="K135:L135"/>
    <mergeCell ref="M135:N135"/>
    <mergeCell ref="O135:S135"/>
    <mergeCell ref="I137:J137"/>
    <mergeCell ref="K137:L137"/>
    <mergeCell ref="M137:N137"/>
    <mergeCell ref="O137:S137"/>
    <mergeCell ref="T135:U135"/>
    <mergeCell ref="A136:F136"/>
    <mergeCell ref="G136:H136"/>
    <mergeCell ref="I136:J136"/>
    <mergeCell ref="K136:L136"/>
    <mergeCell ref="M136:N136"/>
    <mergeCell ref="T137:U137"/>
    <mergeCell ref="A138:F138"/>
    <mergeCell ref="G138:H138"/>
    <mergeCell ref="I138:J138"/>
    <mergeCell ref="K138:L138"/>
    <mergeCell ref="M138:N138"/>
    <mergeCell ref="O138:S138"/>
    <mergeCell ref="T138:U138"/>
    <mergeCell ref="A137:F137"/>
    <mergeCell ref="G137:H137"/>
    <mergeCell ref="O140:S140"/>
    <mergeCell ref="T140:U140"/>
    <mergeCell ref="A139:F139"/>
    <mergeCell ref="G139:H139"/>
    <mergeCell ref="I139:J139"/>
    <mergeCell ref="K139:L139"/>
    <mergeCell ref="M139:N139"/>
    <mergeCell ref="O139:S139"/>
    <mergeCell ref="I141:J141"/>
    <mergeCell ref="K141:L141"/>
    <mergeCell ref="M141:N141"/>
    <mergeCell ref="O141:S141"/>
    <mergeCell ref="T139:U139"/>
    <mergeCell ref="A140:F140"/>
    <mergeCell ref="G140:H140"/>
    <mergeCell ref="I140:J140"/>
    <mergeCell ref="K140:L140"/>
    <mergeCell ref="M140:N140"/>
    <mergeCell ref="T141:U141"/>
    <mergeCell ref="A142:F142"/>
    <mergeCell ref="G142:H142"/>
    <mergeCell ref="I142:J142"/>
    <mergeCell ref="K142:L142"/>
    <mergeCell ref="M142:N142"/>
    <mergeCell ref="O142:S142"/>
    <mergeCell ref="T142:U142"/>
    <mergeCell ref="A141:F141"/>
    <mergeCell ref="G141:H141"/>
    <mergeCell ref="O144:S144"/>
    <mergeCell ref="T144:U144"/>
    <mergeCell ref="A143:F143"/>
    <mergeCell ref="G143:H143"/>
    <mergeCell ref="I143:J143"/>
    <mergeCell ref="K143:L143"/>
    <mergeCell ref="M143:N143"/>
    <mergeCell ref="O143:S143"/>
    <mergeCell ref="I145:J145"/>
    <mergeCell ref="K145:L145"/>
    <mergeCell ref="M145:N145"/>
    <mergeCell ref="O145:S145"/>
    <mergeCell ref="T143:U143"/>
    <mergeCell ref="A144:F144"/>
    <mergeCell ref="G144:H144"/>
    <mergeCell ref="I144:J144"/>
    <mergeCell ref="K144:L144"/>
    <mergeCell ref="M144:N144"/>
    <mergeCell ref="T145:U145"/>
    <mergeCell ref="A146:F146"/>
    <mergeCell ref="G146:H146"/>
    <mergeCell ref="I146:J146"/>
    <mergeCell ref="K146:L146"/>
    <mergeCell ref="M146:N146"/>
    <mergeCell ref="O146:S146"/>
    <mergeCell ref="T146:U146"/>
    <mergeCell ref="A145:F145"/>
    <mergeCell ref="G145:H145"/>
    <mergeCell ref="A147:U147"/>
    <mergeCell ref="A148:U148"/>
    <mergeCell ref="A149:G149"/>
    <mergeCell ref="H149:I149"/>
    <mergeCell ref="J149:K149"/>
    <mergeCell ref="L149:M149"/>
    <mergeCell ref="N149:R149"/>
    <mergeCell ref="S149:U149"/>
    <mergeCell ref="A150:G150"/>
    <mergeCell ref="H150:I150"/>
    <mergeCell ref="J150:K150"/>
    <mergeCell ref="L150:M150"/>
    <mergeCell ref="N150:R150"/>
    <mergeCell ref="S150:U150"/>
    <mergeCell ref="A151:G151"/>
    <mergeCell ref="H151:I151"/>
    <mergeCell ref="J151:K151"/>
    <mergeCell ref="L151:M151"/>
    <mergeCell ref="N151:R151"/>
    <mergeCell ref="S151:U151"/>
    <mergeCell ref="A152:G152"/>
    <mergeCell ref="H152:I152"/>
    <mergeCell ref="J152:K152"/>
    <mergeCell ref="L152:M152"/>
    <mergeCell ref="N152:R152"/>
    <mergeCell ref="S152:U152"/>
    <mergeCell ref="A153:G153"/>
    <mergeCell ref="H153:I153"/>
    <mergeCell ref="J153:K153"/>
    <mergeCell ref="L153:M153"/>
    <mergeCell ref="N153:R153"/>
    <mergeCell ref="S153:U153"/>
    <mergeCell ref="A154:G154"/>
    <mergeCell ref="H154:I154"/>
    <mergeCell ref="J154:K154"/>
    <mergeCell ref="L154:M154"/>
    <mergeCell ref="N154:R154"/>
    <mergeCell ref="S154:U154"/>
    <mergeCell ref="A155:G155"/>
    <mergeCell ref="H155:I155"/>
    <mergeCell ref="J155:K155"/>
    <mergeCell ref="L155:M155"/>
    <mergeCell ref="N155:R155"/>
    <mergeCell ref="S155:U155"/>
    <mergeCell ref="A156:G156"/>
    <mergeCell ref="H156:I156"/>
    <mergeCell ref="J156:K156"/>
    <mergeCell ref="L156:M156"/>
    <mergeCell ref="N156:R156"/>
    <mergeCell ref="S156:U156"/>
    <mergeCell ref="A157:G157"/>
    <mergeCell ref="H157:I157"/>
    <mergeCell ref="J157:K157"/>
    <mergeCell ref="L157:M157"/>
    <mergeCell ref="N157:R157"/>
    <mergeCell ref="S157:U157"/>
    <mergeCell ref="S159:U159"/>
    <mergeCell ref="A158:G158"/>
    <mergeCell ref="H158:I158"/>
    <mergeCell ref="J158:K158"/>
    <mergeCell ref="L158:M158"/>
    <mergeCell ref="N158:R158"/>
    <mergeCell ref="S158:U158"/>
    <mergeCell ref="A160:U160"/>
    <mergeCell ref="A159:G159"/>
    <mergeCell ref="H159:I159"/>
    <mergeCell ref="J159:K159"/>
    <mergeCell ref="L159:M159"/>
    <mergeCell ref="N159:R159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0" max="255" man="1"/>
    <brk id="1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2022-07-08T10:28:03Z</dcterms:created>
  <dcterms:modified xsi:type="dcterms:W3CDTF">2022-07-08T10:28:54Z</dcterms:modified>
  <cp:category/>
  <cp:version/>
  <cp:contentType/>
  <cp:contentStatus/>
</cp:coreProperties>
</file>