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<sst xmlns="http://schemas.openxmlformats.org/spreadsheetml/2006/main" count="684" uniqueCount="362">
  <si>
    <t xml:space="preserve">ИСПОЛНЕНИЕ РАСХОДНОЙ ЧАСТИ </t>
  </si>
  <si>
    <t/>
  </si>
  <si>
    <t>Коды</t>
  </si>
  <si>
    <t>на</t>
  </si>
  <si>
    <t>31.05.2024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</si>
  <si>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</si>
  <si>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</si>
  <si>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</si>
  <si>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</si>
  <si>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</si>
  <si>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</si>
  <si>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</si>
  <si>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</si>
  <si>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</si>
  <si>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</si>
  <si>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</si>
  <si>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</si>
  <si>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с=01.01.2024; по=31.05.2024;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</si>
  <si>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</si>
  <si>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</si>
  <si>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</si>
  <si>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</si>
  <si>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</si>
  <si>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</si>
  <si>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</si>
  <si>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</si>
  <si>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</si>
  <si>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</si>
  <si>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</si>
  <si>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</si>
  <si>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</si>
  <si>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</si>
  <si>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</si>
  <si>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</si>
  <si>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</si>
  <si>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</si>
  <si>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</si>
  <si>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</si>
  <si>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67,35</t>
  </si>
  <si>
    <t>37,10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</si>
  <si>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</si>
  <si>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</si>
  <si>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86,06</t>
  </si>
  <si>
    <t>46,76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</si>
  <si>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</si>
  <si>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</si>
  <si>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</si>
  <si>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</si>
  <si>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97,59</t>
  </si>
  <si>
    <t>50,63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</si>
  <si>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</si>
  <si>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</si>
  <si>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54,25</t>
  </si>
  <si>
    <t>33,90</t>
  </si>
  <si>
    <t>650 0104 0000000000 000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</si>
  <si>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</si>
  <si>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61,00</t>
  </si>
  <si>
    <t>32,85</t>
  </si>
  <si>
    <t>650 0104 1900102040 000</t>
  </si>
  <si>
    <t>Обеспечение функций органов местного самоуправления (денежное содержание ДМС)</t>
  </si>
  <si>
    <t>64,34</t>
  </si>
  <si>
    <t>36,30</t>
  </si>
  <si>
    <t>650 0104 1900102040 121</t>
  </si>
  <si>
    <t>67,38</t>
  </si>
  <si>
    <t>37,17</t>
  </si>
  <si>
    <t>650 0104 1900102040 129</t>
  </si>
  <si>
    <t>55,14</t>
  </si>
  <si>
    <t>33,42</t>
  </si>
  <si>
    <t>650 0104 1900102050 000</t>
  </si>
  <si>
    <t>Обеспечение функций органов местного самоуправления (должности не отнесенные к ДМС)</t>
  </si>
  <si>
    <t>40,68</t>
  </si>
  <si>
    <t>19,18</t>
  </si>
  <si>
    <t>650 0104 1900102050 121</t>
  </si>
  <si>
    <t>42,91</t>
  </si>
  <si>
    <t>19,88</t>
  </si>
  <si>
    <t>650 0104 1900102050 129</t>
  </si>
  <si>
    <t>34,38</t>
  </si>
  <si>
    <t>17,05</t>
  </si>
  <si>
    <t>650 0104 1900102060 000</t>
  </si>
  <si>
    <t>Обеспечение функций органов местного самоуправления (должности рабочих)</t>
  </si>
  <si>
    <t>75,58</t>
  </si>
  <si>
    <t>34,25</t>
  </si>
  <si>
    <t>650 0104 1900102060 121</t>
  </si>
  <si>
    <t>79,62</t>
  </si>
  <si>
    <t>34,27</t>
  </si>
  <si>
    <t>650 0104 1900102060 129</t>
  </si>
  <si>
    <t>64,15</t>
  </si>
  <si>
    <t>34,22</t>
  </si>
  <si>
    <t>650 0104 1900102400 000</t>
  </si>
  <si>
    <t>Прочие мероприятия органов местного самоуправления</t>
  </si>
  <si>
    <t>52,76</t>
  </si>
  <si>
    <t>26,94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</si>
  <si>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</si>
  <si>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</si>
  <si>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</si>
  <si>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</si>
  <si>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</si>
  <si>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</si>
  <si>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</si>
  <si>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</si>
  <si>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</si>
  <si>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650 0111 0000000000 000</t>
  </si>
  <si>
    <t>Резервные фонды</t>
  </si>
  <si>
    <t>0,00</t>
  </si>
  <si>
    <t>650 0111 1900499610 000</t>
  </si>
  <si>
    <t>Резервный фонд администрации сельского поселения Горноправдинск</t>
  </si>
  <si>
    <t>650 0111 1900499610 870</t>
  </si>
  <si>
    <t>Резервные средства</t>
  </si>
  <si>
    <t>650 0113 0000000000 000</t>
  </si>
  <si>
    <t>Другие общегосударственные вопросы</t>
  </si>
  <si>
    <t>57,80</t>
  </si>
  <si>
    <t>30,07</t>
  </si>
  <si>
    <t>650 0113 1900299990 000</t>
  </si>
  <si>
    <t>Реализация мероприятий</t>
  </si>
  <si>
    <t>57,76</t>
  </si>
  <si>
    <t>31,79</t>
  </si>
  <si>
    <t>650 0113 1900299990 244</t>
  </si>
  <si>
    <t>Прочая закупка товаров, работ и услуг для государственных (муниципальных) нужд</t>
  </si>
  <si>
    <t>52,92</t>
  </si>
  <si>
    <t>29,67</t>
  </si>
  <si>
    <t>650 0113 1900299990 247</t>
  </si>
  <si>
    <t>Закупка энергетических ресурсов</t>
  </si>
  <si>
    <t>74,15</t>
  </si>
  <si>
    <t>44,02</t>
  </si>
  <si>
    <t>650 0113 1900299990 851</t>
  </si>
  <si>
    <t>Уплата налога на имущество организаций и земельного налога</t>
  </si>
  <si>
    <t>53,00</t>
  </si>
  <si>
    <t>17,67</t>
  </si>
  <si>
    <t>650 0113 1900299990 852</t>
  </si>
  <si>
    <t>Уплата прочих налогов, сборов и иных платежей</t>
  </si>
  <si>
    <t>43,47</t>
  </si>
  <si>
    <t>21,03</t>
  </si>
  <si>
    <t>650 0113 1900299990 853</t>
  </si>
  <si>
    <t>Уплата иных платежей</t>
  </si>
  <si>
    <t>87,12</t>
  </si>
  <si>
    <t>32,07</t>
  </si>
  <si>
    <t>650 0113 2200199990 000</t>
  </si>
  <si>
    <t>42,86</t>
  </si>
  <si>
    <t>17,65</t>
  </si>
  <si>
    <t>650 0113 2200199990 244</t>
  </si>
  <si>
    <t>650 0113 2200299990 000</t>
  </si>
  <si>
    <t>Реализация мероприятий в рамках основного мероприятия "Содержание имущества муниципальной казны"</t>
  </si>
  <si>
    <t>59,78</t>
  </si>
  <si>
    <t>21,50</t>
  </si>
  <si>
    <t>650 0113 2200299990 244</t>
  </si>
  <si>
    <t>38,26</t>
  </si>
  <si>
    <t>19,13</t>
  </si>
  <si>
    <t>650 0113 2200299990 247</t>
  </si>
  <si>
    <t>61,61</t>
  </si>
  <si>
    <t>21,64</t>
  </si>
  <si>
    <t>650 0203 0000000000 000</t>
  </si>
  <si>
    <t>Мобилизационная и вневойсковая подготовка</t>
  </si>
  <si>
    <t>77,37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</si>
  <si>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</si>
  <si>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</si>
  <si>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</si>
  <si>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77,39</t>
  </si>
  <si>
    <t>33,49</t>
  </si>
  <si>
    <t>650 0203 7000051180 129</t>
  </si>
  <si>
    <t>77,27</t>
  </si>
  <si>
    <t>30,70</t>
  </si>
  <si>
    <t>650 0304 0000000000 000</t>
  </si>
  <si>
    <t>Органы юстиции</t>
  </si>
  <si>
    <t>44,88</t>
  </si>
  <si>
    <t>28,16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</si>
  <si>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</si>
  <si>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</si>
  <si>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72,28</t>
  </si>
  <si>
    <t>34,80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</si>
  <si>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</si>
  <si>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</si>
  <si>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</si>
  <si>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29,04</t>
  </si>
  <si>
    <t>22,10</t>
  </si>
  <si>
    <t>650 0304 70000D9300 122</t>
  </si>
  <si>
    <t>650 0304 70000D9300 129</t>
  </si>
  <si>
    <t>79,78</t>
  </si>
  <si>
    <t>33,13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</si>
  <si>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</si>
  <si>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</si>
  <si>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</si>
  <si>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37,40</t>
  </si>
  <si>
    <t>36,52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</si>
  <si>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</si>
  <si>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</si>
  <si>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60,96</t>
  </si>
  <si>
    <t>32,08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</si>
  <si>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</si>
  <si>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</si>
  <si>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</si>
  <si>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</si>
  <si>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</si>
  <si>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</si>
  <si>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</si>
  <si>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</si>
  <si>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</si>
  <si>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32,30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</si>
  <si>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</si>
  <si>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</si>
  <si>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</si>
  <si>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</si>
  <si>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</si>
  <si>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</si>
  <si>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650 0409 0000000000 000</t>
  </si>
  <si>
    <t>Дорожное хозяйство (дорожные фонды)</t>
  </si>
  <si>
    <t>71,92</t>
  </si>
  <si>
    <t>47,08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</si>
  <si>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</si>
  <si>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</si>
  <si>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11,12</t>
  </si>
  <si>
    <t>9,10</t>
  </si>
  <si>
    <t>650 0409 1710199990 244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</si>
  <si>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</si>
  <si>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</si>
  <si>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92,61</t>
  </si>
  <si>
    <t>58,74</t>
  </si>
  <si>
    <t>650 0409 1720199990 244</t>
  </si>
  <si>
    <t>650 0409 1720299990 000</t>
  </si>
  <si>
    <t>Реализация мероприятий в рамках основного мероприятия  "Обеспечение безопасности дорожного движения"</t>
  </si>
  <si>
    <t>650 0409 1720299990 244</t>
  </si>
  <si>
    <t>650 0410 0000000000 000</t>
  </si>
  <si>
    <t>Связь и информатика</t>
  </si>
  <si>
    <t>84,12</t>
  </si>
  <si>
    <t>40,10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</si>
  <si>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</si>
  <si>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</si>
  <si>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</si>
  <si>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</si>
  <si>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</si>
  <si>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5,04</t>
  </si>
  <si>
    <t>2,50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</si>
  <si>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</si>
  <si>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</si>
  <si>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</si>
  <si>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</si>
  <si>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</si>
  <si>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</si>
  <si>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</si>
  <si>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6,08</t>
  </si>
  <si>
    <t>3,04</t>
  </si>
  <si>
    <t>650 0412 7000089020 540</t>
  </si>
  <si>
    <t>650 0412 7000099990 000</t>
  </si>
  <si>
    <t>650 0412 7000099990 240</t>
  </si>
  <si>
    <t>Иные закупки товаров, работ и услуг для обеспечения государственных (муниципальных) нужд</t>
  </si>
  <si>
    <t>650 0501 0000000000 000</t>
  </si>
  <si>
    <t>Жилищное хозяйство</t>
  </si>
  <si>
    <t>21,63</t>
  </si>
  <si>
    <t>12,09</t>
  </si>
  <si>
    <t>650 0501 1100199990 000</t>
  </si>
  <si>
    <t>650 0501 1100199990 244</t>
  </si>
  <si>
    <t>650 0501 1100282904 000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</si>
  <si>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</si>
  <si>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650 0501 1100282904 244</t>
  </si>
  <si>
    <t>650 0501 11002S2904 000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</si>
  <si>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</si>
  <si>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0501 11002S2904 244</t>
  </si>
  <si>
    <t>650 0501 1100382901 000</t>
  </si>
  <si>
    <t>Реализация полномочий в области строительства и  жилищных отношений  (средства автономного округа)</t>
  </si>
  <si>
    <t>650 0501 1100382901 412</t>
  </si>
  <si>
    <t>Бюджетные инвестиции на приобретение объектов недвижимого имущества в государственную (муниципальную) собственность</t>
  </si>
  <si>
    <t>650 0501 11003S2901 000</t>
  </si>
  <si>
    <t>Софинансирование мероприятий по реализации полномочий в области строительства и  жилищных отношений (за счет средств местного бюджета)</t>
  </si>
  <si>
    <t>5,00</t>
  </si>
  <si>
    <t>650 0501 11003S2901 412</t>
  </si>
  <si>
    <t>650 0501 2200199990 000</t>
  </si>
  <si>
    <t>650 0501 2200199990 244</t>
  </si>
  <si>
    <t>650 0501 2200299990 000</t>
  </si>
  <si>
    <t>87,30</t>
  </si>
  <si>
    <t>52,89</t>
  </si>
  <si>
    <t>650 0501 2200299990 244</t>
  </si>
  <si>
    <t>650 0501 7000099990 000</t>
  </si>
  <si>
    <t>650 0501 7000099990 244</t>
  </si>
  <si>
    <t>650 0502 0000000000 000</t>
  </si>
  <si>
    <t>Коммунальное хозяйство</t>
  </si>
  <si>
    <t>53,06</t>
  </si>
  <si>
    <t>43,74</t>
  </si>
  <si>
    <t>650 0502 7000099990 000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</si>
  <si>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</si>
  <si>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</si>
  <si>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650 0503 0000000000 000</t>
  </si>
  <si>
    <t>Благоустройство</t>
  </si>
  <si>
    <t>67,04</t>
  </si>
  <si>
    <t>33,41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</si>
  <si>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</si>
  <si>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</si>
  <si>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49,16</t>
  </si>
  <si>
    <t>43,10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</si>
  <si>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</si>
  <si>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</si>
  <si>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</si>
  <si>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97,58</t>
  </si>
  <si>
    <t>65,18</t>
  </si>
  <si>
    <t>650 0503 1210299990 244</t>
  </si>
  <si>
    <t>650 0503 12102L5762 000</t>
  </si>
  <si>
    <t>Реализация проектов по благоустройству общественных пространств на сельских территориях</t>
  </si>
  <si>
    <t>650 0503 12102L5762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</si>
  <si>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</si>
  <si>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</si>
  <si>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98,85</t>
  </si>
  <si>
    <t>53,61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</si>
  <si>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</si>
  <si>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</si>
  <si>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</si>
  <si>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73,94</t>
  </si>
  <si>
    <t>42,78</t>
  </si>
  <si>
    <t>650 0503 1210499990 244</t>
  </si>
  <si>
    <t>41,54</t>
  </si>
  <si>
    <t>27,69</t>
  </si>
  <si>
    <t>650 0503 1210499990 247</t>
  </si>
  <si>
    <t>81,78</t>
  </si>
  <si>
    <t>45,85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</si>
  <si>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</si>
  <si>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</si>
  <si>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2,23</t>
  </si>
  <si>
    <t>1,98</t>
  </si>
  <si>
    <t>650 0503 1210599990 244</t>
  </si>
  <si>
    <t>650 0503 1210620806 000</t>
  </si>
  <si>
    <t>Реализация инициативных проектов "Выполнение работ по обустройству пешеходной зоны ул. Центральная в п. Бобровский"</t>
  </si>
  <si>
    <t>650 0503 1210620806 244</t>
  </si>
  <si>
    <t>650 0801 0000000000 000</t>
  </si>
  <si>
    <t>Культура</t>
  </si>
  <si>
    <t>82,14</t>
  </si>
  <si>
    <t>41,71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</si>
  <si>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</si>
  <si>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</si>
  <si>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83,33</t>
  </si>
  <si>
    <t>41,67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</si>
  <si>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</si>
  <si>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</si>
  <si>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</si>
  <si>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</si>
  <si>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83,34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</si>
  <si>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</si>
  <si>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</si>
  <si>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</si>
  <si>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</si>
  <si>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</si>
  <si>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</si>
  <si>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55,79</t>
  </si>
  <si>
    <t>38,99</t>
  </si>
  <si>
    <t>650 0801 7000061990 612</t>
  </si>
  <si>
    <t>Субсидии бюджетным учреждениям на иные цели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</si>
  <si>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</si>
  <si>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</si>
  <si>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650 0801 7000085160 612</t>
  </si>
  <si>
    <t>650 1001 0000000000 000</t>
  </si>
  <si>
    <t>Пенсионное обеспечение</t>
  </si>
  <si>
    <t>76,34</t>
  </si>
  <si>
    <t>41,66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</si>
  <si>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</si>
  <si>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</si>
  <si>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</si>
  <si>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</si>
  <si>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</si>
  <si>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84,25</t>
  </si>
  <si>
    <t>43,33</t>
  </si>
  <si>
    <t>650 1101 0500361990 000</t>
  </si>
  <si>
    <t>650 1101 0500361990 611</t>
  </si>
  <si>
    <t>650 1101 7000061990 000</t>
  </si>
  <si>
    <t>650 1101 7000061990 612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</si>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</sst>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45443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33.7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24" customHeight="1">
      <c r="A15" s="29" t="s">
        <v>37</v>
      </c>
      <c r="B15" s="29"/>
      <c r="C15" s="29"/>
      <c r="D15" s="29"/>
      <c r="E15" s="29"/>
      <c r="F15" s="30" t="s">
        <v>7</v>
      </c>
      <c r="G15" s="30"/>
      <c r="H15" s="30"/>
      <c r="I15" s="31">
        <f>75164623.76</f>
        <v>75164623.76</v>
      </c>
      <c r="J15" s="31"/>
      <c r="K15" s="32">
        <f>136460627.3</f>
        <v>136460627.3</v>
      </c>
      <c r="L15" s="32"/>
      <c r="M15" s="33">
        <f>50621682.85</f>
        <v>50621682.85</v>
      </c>
      <c r="N15" s="34" t="s">
        <v>38</v>
      </c>
      <c r="O15" s="35" t="s">
        <v>39</v>
      </c>
      <c r="P15" s="31">
        <f>24542940.91</f>
        <v>24542940.91</v>
      </c>
      <c r="Q15" s="31"/>
      <c r="R15" s="36">
        <f>85838944.45</f>
        <v>85838944.45</v>
      </c>
      <c r="S15" s="36"/>
    </row>
    <row r="16" spans="1:19" s="1" customFormat="1" ht="33.75" customHeight="1">
      <c r="A16" s="29" t="s">
        <v>40</v>
      </c>
      <c r="B16" s="29"/>
      <c r="C16" s="29"/>
      <c r="D16" s="29"/>
      <c r="E16" s="29"/>
      <c r="F16" s="30" t="s">
        <v>41</v>
      </c>
      <c r="G16" s="30"/>
      <c r="H16" s="30"/>
      <c r="I16" s="31">
        <f>1315000</f>
        <v>1315000</v>
      </c>
      <c r="J16" s="31"/>
      <c r="K16" s="32">
        <f>2420000</f>
        <v>2420000</v>
      </c>
      <c r="L16" s="32"/>
      <c r="M16" s="33">
        <f>1131652.14</f>
        <v>1131652.14</v>
      </c>
      <c r="N16" s="34" t="s">
        <v>42</v>
      </c>
      <c r="O16" s="35" t="s">
        <v>43</v>
      </c>
      <c r="P16" s="31">
        <f>183347.86</f>
        <v>183347.86</v>
      </c>
      <c r="Q16" s="31"/>
      <c r="R16" s="36">
        <f>1288347.86</f>
        <v>1288347.86</v>
      </c>
      <c r="S16" s="36"/>
    </row>
    <row r="17" spans="1:19" s="1" customFormat="1" ht="13.5" customHeight="1">
      <c r="A17" s="29" t="s">
        <v>44</v>
      </c>
      <c r="B17" s="29"/>
      <c r="C17" s="29"/>
      <c r="D17" s="29"/>
      <c r="E17" s="29"/>
      <c r="F17" s="30" t="s">
        <v>45</v>
      </c>
      <c r="G17" s="30"/>
      <c r="H17" s="30"/>
      <c r="I17" s="31">
        <f>1315000</f>
        <v>1315000</v>
      </c>
      <c r="J17" s="31"/>
      <c r="K17" s="32">
        <f>2420000</f>
        <v>2420000</v>
      </c>
      <c r="L17" s="32"/>
      <c r="M17" s="33">
        <f>1131652.14</f>
        <v>1131652.14</v>
      </c>
      <c r="N17" s="34" t="s">
        <v>42</v>
      </c>
      <c r="O17" s="35" t="s">
        <v>43</v>
      </c>
      <c r="P17" s="31">
        <f>183347.86</f>
        <v>183347.86</v>
      </c>
      <c r="Q17" s="31"/>
      <c r="R17" s="36">
        <f>1288347.86</f>
        <v>1288347.86</v>
      </c>
      <c r="S17" s="36"/>
    </row>
    <row r="18" spans="1:19" s="1" customFormat="1" ht="13.5" customHeight="1">
      <c r="A18" s="29" t="s">
        <v>46</v>
      </c>
      <c r="B18" s="29"/>
      <c r="C18" s="29"/>
      <c r="D18" s="29"/>
      <c r="E18" s="29"/>
      <c r="F18" s="30" t="s">
        <v>47</v>
      </c>
      <c r="G18" s="30"/>
      <c r="H18" s="30"/>
      <c r="I18" s="31">
        <f>965000</f>
        <v>965000</v>
      </c>
      <c r="J18" s="31"/>
      <c r="K18" s="32">
        <f>1860000</f>
        <v>1860000</v>
      </c>
      <c r="L18" s="32"/>
      <c r="M18" s="33">
        <f>941789.19</f>
        <v>941789.19</v>
      </c>
      <c r="N18" s="34" t="s">
        <v>48</v>
      </c>
      <c r="O18" s="35" t="s">
        <v>49</v>
      </c>
      <c r="P18" s="31">
        <f>23210.81</f>
        <v>23210.81</v>
      </c>
      <c r="Q18" s="31"/>
      <c r="R18" s="36">
        <f>918210.81</f>
        <v>918210.81</v>
      </c>
      <c r="S18" s="36"/>
    </row>
    <row r="19" spans="1:19" s="1" customFormat="1" ht="45" customHeight="1">
      <c r="A19" s="29" t="s">
        <v>50</v>
      </c>
      <c r="B19" s="29"/>
      <c r="C19" s="29"/>
      <c r="D19" s="29"/>
      <c r="E19" s="29"/>
      <c r="F19" s="30" t="s">
        <v>51</v>
      </c>
      <c r="G19" s="30"/>
      <c r="H19" s="30"/>
      <c r="I19" s="31">
        <f>350000</f>
        <v>350000</v>
      </c>
      <c r="J19" s="31"/>
      <c r="K19" s="32">
        <f>560000</f>
        <v>560000</v>
      </c>
      <c r="L19" s="32"/>
      <c r="M19" s="33">
        <f>189862.95</f>
        <v>189862.95</v>
      </c>
      <c r="N19" s="34" t="s">
        <v>52</v>
      </c>
      <c r="O19" s="35" t="s">
        <v>53</v>
      </c>
      <c r="P19" s="31">
        <f>160137.05</f>
        <v>160137.05</v>
      </c>
      <c r="Q19" s="31"/>
      <c r="R19" s="36">
        <f>370137.05</f>
        <v>370137.05</v>
      </c>
      <c r="S19" s="36"/>
    </row>
    <row r="20" spans="1:19" s="1" customFormat="1" ht="45" customHeight="1">
      <c r="A20" s="29" t="s">
        <v>54</v>
      </c>
      <c r="B20" s="29"/>
      <c r="C20" s="29"/>
      <c r="D20" s="29"/>
      <c r="E20" s="29"/>
      <c r="F20" s="30" t="s">
        <v>55</v>
      </c>
      <c r="G20" s="30"/>
      <c r="H20" s="30"/>
      <c r="I20" s="31">
        <f>16055453.4</f>
        <v>16055453.4</v>
      </c>
      <c r="J20" s="31"/>
      <c r="K20" s="32">
        <f>29810000</f>
        <v>29810000</v>
      </c>
      <c r="L20" s="32"/>
      <c r="M20" s="33">
        <f>9793783.66</f>
        <v>9793783.66</v>
      </c>
      <c r="N20" s="34" t="s">
        <v>56</v>
      </c>
      <c r="O20" s="35" t="s">
        <v>57</v>
      </c>
      <c r="P20" s="31">
        <f>6261669.74</f>
        <v>6261669.74</v>
      </c>
      <c r="Q20" s="31"/>
      <c r="R20" s="36">
        <f>20016216.34</f>
        <v>20016216.34</v>
      </c>
      <c r="S20" s="36"/>
    </row>
    <row r="21" spans="1:19" s="1" customFormat="1" ht="24" customHeight="1">
      <c r="A21" s="29" t="s">
        <v>58</v>
      </c>
      <c r="B21" s="29"/>
      <c r="C21" s="29"/>
      <c r="D21" s="29"/>
      <c r="E21" s="29"/>
      <c r="F21" s="30" t="s">
        <v>59</v>
      </c>
      <c r="G21" s="30"/>
      <c r="H21" s="30"/>
      <c r="I21" s="31">
        <f>12085000</f>
        <v>12085000</v>
      </c>
      <c r="J21" s="31"/>
      <c r="K21" s="32">
        <f>21420000</f>
        <v>21420000</v>
      </c>
      <c r="L21" s="32"/>
      <c r="M21" s="33">
        <f>7775492.25</f>
        <v>7775492.25</v>
      </c>
      <c r="N21" s="34" t="s">
        <v>60</v>
      </c>
      <c r="O21" s="35" t="s">
        <v>61</v>
      </c>
      <c r="P21" s="31">
        <f>4309507.75</f>
        <v>4309507.75</v>
      </c>
      <c r="Q21" s="31"/>
      <c r="R21" s="36">
        <f>13644507.75</f>
        <v>13644507.75</v>
      </c>
      <c r="S21" s="36"/>
    </row>
    <row r="22" spans="1:19" s="1" customFormat="1" ht="13.5" customHeight="1">
      <c r="A22" s="29" t="s">
        <v>62</v>
      </c>
      <c r="B22" s="29"/>
      <c r="C22" s="29"/>
      <c r="D22" s="29"/>
      <c r="E22" s="29"/>
      <c r="F22" s="30" t="s">
        <v>47</v>
      </c>
      <c r="G22" s="30"/>
      <c r="H22" s="30"/>
      <c r="I22" s="31">
        <f>9085000</f>
        <v>9085000</v>
      </c>
      <c r="J22" s="31"/>
      <c r="K22" s="32">
        <f>16470000</f>
        <v>16470000</v>
      </c>
      <c r="L22" s="32"/>
      <c r="M22" s="33">
        <f>6121180.39</f>
        <v>6121180.39</v>
      </c>
      <c r="N22" s="34" t="s">
        <v>63</v>
      </c>
      <c r="O22" s="35" t="s">
        <v>64</v>
      </c>
      <c r="P22" s="31">
        <f>2963819.61</f>
        <v>2963819.61</v>
      </c>
      <c r="Q22" s="31"/>
      <c r="R22" s="36">
        <f>10348819.61</f>
        <v>10348819.61</v>
      </c>
      <c r="S22" s="36"/>
    </row>
    <row r="23" spans="1:19" s="1" customFormat="1" ht="45" customHeight="1">
      <c r="A23" s="29" t="s">
        <v>65</v>
      </c>
      <c r="B23" s="29"/>
      <c r="C23" s="29"/>
      <c r="D23" s="29"/>
      <c r="E23" s="29"/>
      <c r="F23" s="30" t="s">
        <v>51</v>
      </c>
      <c r="G23" s="30"/>
      <c r="H23" s="30"/>
      <c r="I23" s="31">
        <f>3000000</f>
        <v>3000000</v>
      </c>
      <c r="J23" s="31"/>
      <c r="K23" s="32">
        <f>4950000</f>
        <v>4950000</v>
      </c>
      <c r="L23" s="32"/>
      <c r="M23" s="33">
        <f>1654311.86</f>
        <v>1654311.86</v>
      </c>
      <c r="N23" s="34" t="s">
        <v>66</v>
      </c>
      <c r="O23" s="35" t="s">
        <v>67</v>
      </c>
      <c r="P23" s="31">
        <f>1345688.14</f>
        <v>1345688.14</v>
      </c>
      <c r="Q23" s="31"/>
      <c r="R23" s="36">
        <f>3295688.14</f>
        <v>3295688.14</v>
      </c>
      <c r="S23" s="36"/>
    </row>
    <row r="24" spans="1:19" s="1" customFormat="1" ht="24" customHeight="1">
      <c r="A24" s="29" t="s">
        <v>68</v>
      </c>
      <c r="B24" s="29"/>
      <c r="C24" s="29"/>
      <c r="D24" s="29"/>
      <c r="E24" s="29"/>
      <c r="F24" s="30" t="s">
        <v>69</v>
      </c>
      <c r="G24" s="30"/>
      <c r="H24" s="30"/>
      <c r="I24" s="31">
        <f>2371453.4</f>
        <v>2371453.4</v>
      </c>
      <c r="J24" s="31"/>
      <c r="K24" s="32">
        <f>5030000</f>
        <v>5030000</v>
      </c>
      <c r="L24" s="32"/>
      <c r="M24" s="33">
        <f>964676.03</f>
        <v>964676.03</v>
      </c>
      <c r="N24" s="34" t="s">
        <v>70</v>
      </c>
      <c r="O24" s="35" t="s">
        <v>71</v>
      </c>
      <c r="P24" s="31">
        <f>1406777.37</f>
        <v>1406777.37</v>
      </c>
      <c r="Q24" s="31"/>
      <c r="R24" s="36">
        <f>4065323.97</f>
        <v>4065323.97</v>
      </c>
      <c r="S24" s="36"/>
    </row>
    <row r="25" spans="1:19" s="1" customFormat="1" ht="13.5" customHeight="1">
      <c r="A25" s="29" t="s">
        <v>72</v>
      </c>
      <c r="B25" s="29"/>
      <c r="C25" s="29"/>
      <c r="D25" s="29"/>
      <c r="E25" s="29"/>
      <c r="F25" s="30" t="s">
        <v>47</v>
      </c>
      <c r="G25" s="30"/>
      <c r="H25" s="30"/>
      <c r="I25" s="31">
        <f>1751453.4</f>
        <v>1751453.4</v>
      </c>
      <c r="J25" s="31"/>
      <c r="K25" s="32">
        <f>3780000</f>
        <v>3780000</v>
      </c>
      <c r="L25" s="32"/>
      <c r="M25" s="33">
        <f>751517.93</f>
        <v>751517.93</v>
      </c>
      <c r="N25" s="34" t="s">
        <v>73</v>
      </c>
      <c r="O25" s="35" t="s">
        <v>74</v>
      </c>
      <c r="P25" s="31">
        <f>999935.47</f>
        <v>999935.47</v>
      </c>
      <c r="Q25" s="31"/>
      <c r="R25" s="36">
        <f>3028482.07</f>
        <v>3028482.07</v>
      </c>
      <c r="S25" s="36"/>
    </row>
    <row r="26" spans="1:19" s="1" customFormat="1" ht="45" customHeight="1">
      <c r="A26" s="29" t="s">
        <v>75</v>
      </c>
      <c r="B26" s="29"/>
      <c r="C26" s="29"/>
      <c r="D26" s="29"/>
      <c r="E26" s="29"/>
      <c r="F26" s="30" t="s">
        <v>51</v>
      </c>
      <c r="G26" s="30"/>
      <c r="H26" s="30"/>
      <c r="I26" s="31">
        <f>620000</f>
        <v>620000</v>
      </c>
      <c r="J26" s="31"/>
      <c r="K26" s="32">
        <f>1250000</f>
        <v>1250000</v>
      </c>
      <c r="L26" s="32"/>
      <c r="M26" s="33">
        <f>213158.1</f>
        <v>213158.1</v>
      </c>
      <c r="N26" s="34" t="s">
        <v>76</v>
      </c>
      <c r="O26" s="35" t="s">
        <v>77</v>
      </c>
      <c r="P26" s="31">
        <f>406841.9</f>
        <v>406841.9</v>
      </c>
      <c r="Q26" s="31"/>
      <c r="R26" s="36">
        <f>1036841.9</f>
        <v>1036841.9</v>
      </c>
      <c r="S26" s="36"/>
    </row>
    <row r="27" spans="1:19" s="1" customFormat="1" ht="24" customHeight="1">
      <c r="A27" s="29" t="s">
        <v>78</v>
      </c>
      <c r="B27" s="29"/>
      <c r="C27" s="29"/>
      <c r="D27" s="29"/>
      <c r="E27" s="29"/>
      <c r="F27" s="30" t="s">
        <v>79</v>
      </c>
      <c r="G27" s="30"/>
      <c r="H27" s="30"/>
      <c r="I27" s="31">
        <f>920000</f>
        <v>920000</v>
      </c>
      <c r="J27" s="31"/>
      <c r="K27" s="32">
        <f>2030000</f>
        <v>2030000</v>
      </c>
      <c r="L27" s="32"/>
      <c r="M27" s="33">
        <f>695359.88</f>
        <v>695359.88</v>
      </c>
      <c r="N27" s="34" t="s">
        <v>80</v>
      </c>
      <c r="O27" s="35" t="s">
        <v>81</v>
      </c>
      <c r="P27" s="31">
        <f>224640.12</f>
        <v>224640.12</v>
      </c>
      <c r="Q27" s="31"/>
      <c r="R27" s="36">
        <f>1334640.12</f>
        <v>1334640.12</v>
      </c>
      <c r="S27" s="36"/>
    </row>
    <row r="28" spans="1:19" s="1" customFormat="1" ht="13.5" customHeight="1">
      <c r="A28" s="29" t="s">
        <v>82</v>
      </c>
      <c r="B28" s="29"/>
      <c r="C28" s="29"/>
      <c r="D28" s="29"/>
      <c r="E28" s="29"/>
      <c r="F28" s="30" t="s">
        <v>47</v>
      </c>
      <c r="G28" s="30"/>
      <c r="H28" s="30"/>
      <c r="I28" s="31">
        <f>680000</f>
        <v>680000</v>
      </c>
      <c r="J28" s="31"/>
      <c r="K28" s="32">
        <f>1580000</f>
        <v>1580000</v>
      </c>
      <c r="L28" s="32"/>
      <c r="M28" s="33">
        <f>541388.86</f>
        <v>541388.86</v>
      </c>
      <c r="N28" s="34" t="s">
        <v>83</v>
      </c>
      <c r="O28" s="35" t="s">
        <v>84</v>
      </c>
      <c r="P28" s="31">
        <f>138611.14</f>
        <v>138611.14</v>
      </c>
      <c r="Q28" s="31"/>
      <c r="R28" s="36">
        <f>1038611.14</f>
        <v>1038611.14</v>
      </c>
      <c r="S28" s="36"/>
    </row>
    <row r="29" spans="1:19" s="1" customFormat="1" ht="45" customHeight="1">
      <c r="A29" s="29" t="s">
        <v>85</v>
      </c>
      <c r="B29" s="29"/>
      <c r="C29" s="29"/>
      <c r="D29" s="29"/>
      <c r="E29" s="29"/>
      <c r="F29" s="30" t="s">
        <v>51</v>
      </c>
      <c r="G29" s="30"/>
      <c r="H29" s="30"/>
      <c r="I29" s="31">
        <f>240000</f>
        <v>240000</v>
      </c>
      <c r="J29" s="31"/>
      <c r="K29" s="32">
        <f>450000</f>
        <v>450000</v>
      </c>
      <c r="L29" s="32"/>
      <c r="M29" s="33">
        <f>153971.02</f>
        <v>153971.02</v>
      </c>
      <c r="N29" s="34" t="s">
        <v>86</v>
      </c>
      <c r="O29" s="35" t="s">
        <v>87</v>
      </c>
      <c r="P29" s="31">
        <f>86028.98</f>
        <v>86028.98</v>
      </c>
      <c r="Q29" s="31"/>
      <c r="R29" s="36">
        <f>296028.98</f>
        <v>296028.98</v>
      </c>
      <c r="S29" s="36"/>
    </row>
    <row r="30" spans="1:19" s="1" customFormat="1" ht="24" customHeight="1">
      <c r="A30" s="29" t="s">
        <v>88</v>
      </c>
      <c r="B30" s="29"/>
      <c r="C30" s="29"/>
      <c r="D30" s="29"/>
      <c r="E30" s="29"/>
      <c r="F30" s="30" t="s">
        <v>89</v>
      </c>
      <c r="G30" s="30"/>
      <c r="H30" s="30"/>
      <c r="I30" s="31">
        <f>679000</f>
        <v>679000</v>
      </c>
      <c r="J30" s="31"/>
      <c r="K30" s="32">
        <f>1330000</f>
        <v>1330000</v>
      </c>
      <c r="L30" s="32"/>
      <c r="M30" s="33">
        <f>358255.5</f>
        <v>358255.5</v>
      </c>
      <c r="N30" s="34" t="s">
        <v>90</v>
      </c>
      <c r="O30" s="35" t="s">
        <v>91</v>
      </c>
      <c r="P30" s="31">
        <f>320744.5</f>
        <v>320744.5</v>
      </c>
      <c r="Q30" s="31"/>
      <c r="R30" s="36">
        <f>971744.5</f>
        <v>971744.5</v>
      </c>
      <c r="S30" s="36"/>
    </row>
    <row r="31" spans="1:19" s="1" customFormat="1" ht="24" customHeight="1">
      <c r="A31" s="29" t="s">
        <v>92</v>
      </c>
      <c r="B31" s="29"/>
      <c r="C31" s="29"/>
      <c r="D31" s="29"/>
      <c r="E31" s="29"/>
      <c r="F31" s="30" t="s">
        <v>93</v>
      </c>
      <c r="G31" s="30"/>
      <c r="H31" s="30"/>
      <c r="I31" s="31">
        <f>679000</f>
        <v>679000</v>
      </c>
      <c r="J31" s="31"/>
      <c r="K31" s="32">
        <f>1330000</f>
        <v>1330000</v>
      </c>
      <c r="L31" s="32"/>
      <c r="M31" s="33">
        <f>358255.5</f>
        <v>358255.5</v>
      </c>
      <c r="N31" s="34" t="s">
        <v>90</v>
      </c>
      <c r="O31" s="35" t="s">
        <v>91</v>
      </c>
      <c r="P31" s="31">
        <f>320744.5</f>
        <v>320744.5</v>
      </c>
      <c r="Q31" s="31"/>
      <c r="R31" s="36">
        <f>971744.5</f>
        <v>971744.5</v>
      </c>
      <c r="S31" s="36"/>
    </row>
    <row r="32" spans="1:19" s="1" customFormat="1" ht="33.75" customHeight="1">
      <c r="A32" s="29" t="s">
        <v>94</v>
      </c>
      <c r="B32" s="29"/>
      <c r="C32" s="29"/>
      <c r="D32" s="29"/>
      <c r="E32" s="29"/>
      <c r="F32" s="30" t="s">
        <v>95</v>
      </c>
      <c r="G32" s="30"/>
      <c r="H32" s="30"/>
      <c r="I32" s="31">
        <f>47267</f>
        <v>47267</v>
      </c>
      <c r="J32" s="31"/>
      <c r="K32" s="32">
        <f>47267</f>
        <v>47267</v>
      </c>
      <c r="L32" s="32"/>
      <c r="M32" s="33">
        <f>47267</f>
        <v>47267</v>
      </c>
      <c r="N32" s="34" t="s">
        <v>96</v>
      </c>
      <c r="O32" s="35" t="s">
        <v>96</v>
      </c>
      <c r="P32" s="37" t="s">
        <v>1</v>
      </c>
      <c r="Q32" s="37"/>
      <c r="R32" s="38" t="s">
        <v>1</v>
      </c>
      <c r="S32" s="38"/>
    </row>
    <row r="33" spans="1:19" s="1" customFormat="1" ht="66" customHeight="1">
      <c r="A33" s="29" t="s">
        <v>97</v>
      </c>
      <c r="B33" s="29"/>
      <c r="C33" s="29"/>
      <c r="D33" s="29"/>
      <c r="E33" s="29"/>
      <c r="F33" s="30" t="s">
        <v>98</v>
      </c>
      <c r="G33" s="30"/>
      <c r="H33" s="30"/>
      <c r="I33" s="31">
        <f>47267</f>
        <v>47267</v>
      </c>
      <c r="J33" s="31"/>
      <c r="K33" s="32">
        <f>47267</f>
        <v>47267</v>
      </c>
      <c r="L33" s="32"/>
      <c r="M33" s="33">
        <f>47267</f>
        <v>47267</v>
      </c>
      <c r="N33" s="34" t="s">
        <v>96</v>
      </c>
      <c r="O33" s="35" t="s">
        <v>96</v>
      </c>
      <c r="P33" s="37" t="s">
        <v>1</v>
      </c>
      <c r="Q33" s="37"/>
      <c r="R33" s="38" t="s">
        <v>1</v>
      </c>
      <c r="S33" s="38"/>
    </row>
    <row r="34" spans="1:19" s="1" customFormat="1" ht="13.5" customHeight="1">
      <c r="A34" s="29" t="s">
        <v>99</v>
      </c>
      <c r="B34" s="29"/>
      <c r="C34" s="29"/>
      <c r="D34" s="29"/>
      <c r="E34" s="29"/>
      <c r="F34" s="30" t="s">
        <v>100</v>
      </c>
      <c r="G34" s="30"/>
      <c r="H34" s="30"/>
      <c r="I34" s="31">
        <f>47267</f>
        <v>47267</v>
      </c>
      <c r="J34" s="31"/>
      <c r="K34" s="32">
        <f>47267</f>
        <v>47267</v>
      </c>
      <c r="L34" s="32"/>
      <c r="M34" s="33">
        <f>47267</f>
        <v>47267</v>
      </c>
      <c r="N34" s="34" t="s">
        <v>96</v>
      </c>
      <c r="O34" s="35" t="s">
        <v>96</v>
      </c>
      <c r="P34" s="37" t="s">
        <v>1</v>
      </c>
      <c r="Q34" s="37"/>
      <c r="R34" s="38" t="s">
        <v>1</v>
      </c>
      <c r="S34" s="38"/>
    </row>
    <row r="35" spans="1:19" s="1" customFormat="1" ht="13.5" customHeight="1">
      <c r="A35" s="29" t="s">
        <v>101</v>
      </c>
      <c r="B35" s="29"/>
      <c r="C35" s="29"/>
      <c r="D35" s="29"/>
      <c r="E35" s="29"/>
      <c r="F35" s="30" t="s">
        <v>102</v>
      </c>
      <c r="G35" s="30"/>
      <c r="H35" s="30"/>
      <c r="I35" s="31">
        <f>50000</f>
        <v>50000</v>
      </c>
      <c r="J35" s="31"/>
      <c r="K35" s="32">
        <f>50000</f>
        <v>50000</v>
      </c>
      <c r="L35" s="32"/>
      <c r="M35" s="34" t="s">
        <v>1</v>
      </c>
      <c r="N35" s="34" t="s">
        <v>103</v>
      </c>
      <c r="O35" s="35" t="s">
        <v>103</v>
      </c>
      <c r="P35" s="31">
        <f>50000</f>
        <v>50000</v>
      </c>
      <c r="Q35" s="31"/>
      <c r="R35" s="36">
        <f>50000</f>
        <v>50000</v>
      </c>
      <c r="S35" s="36"/>
    </row>
    <row r="36" spans="1:19" s="1" customFormat="1" ht="24" customHeight="1">
      <c r="A36" s="29" t="s">
        <v>104</v>
      </c>
      <c r="B36" s="29"/>
      <c r="C36" s="29"/>
      <c r="D36" s="29"/>
      <c r="E36" s="29"/>
      <c r="F36" s="30" t="s">
        <v>105</v>
      </c>
      <c r="G36" s="30"/>
      <c r="H36" s="30"/>
      <c r="I36" s="31">
        <f>50000</f>
        <v>50000</v>
      </c>
      <c r="J36" s="31"/>
      <c r="K36" s="32">
        <f>50000</f>
        <v>50000</v>
      </c>
      <c r="L36" s="32"/>
      <c r="M36" s="34" t="s">
        <v>1</v>
      </c>
      <c r="N36" s="34" t="s">
        <v>103</v>
      </c>
      <c r="O36" s="35" t="s">
        <v>103</v>
      </c>
      <c r="P36" s="31">
        <f>50000</f>
        <v>50000</v>
      </c>
      <c r="Q36" s="31"/>
      <c r="R36" s="36">
        <f>50000</f>
        <v>50000</v>
      </c>
      <c r="S36" s="36"/>
    </row>
    <row r="37" spans="1:19" s="1" customFormat="1" ht="13.5" customHeight="1">
      <c r="A37" s="29" t="s">
        <v>106</v>
      </c>
      <c r="B37" s="29"/>
      <c r="C37" s="29"/>
      <c r="D37" s="29"/>
      <c r="E37" s="29"/>
      <c r="F37" s="30" t="s">
        <v>107</v>
      </c>
      <c r="G37" s="30"/>
      <c r="H37" s="30"/>
      <c r="I37" s="31">
        <f>50000</f>
        <v>50000</v>
      </c>
      <c r="J37" s="31"/>
      <c r="K37" s="32">
        <f>50000</f>
        <v>50000</v>
      </c>
      <c r="L37" s="32"/>
      <c r="M37" s="34" t="s">
        <v>1</v>
      </c>
      <c r="N37" s="34" t="s">
        <v>103</v>
      </c>
      <c r="O37" s="35" t="s">
        <v>103</v>
      </c>
      <c r="P37" s="31">
        <f>50000</f>
        <v>50000</v>
      </c>
      <c r="Q37" s="31"/>
      <c r="R37" s="36">
        <f>50000</f>
        <v>50000</v>
      </c>
      <c r="S37" s="36"/>
    </row>
    <row r="38" spans="1:19" s="1" customFormat="1" ht="13.5" customHeight="1">
      <c r="A38" s="29" t="s">
        <v>108</v>
      </c>
      <c r="B38" s="29"/>
      <c r="C38" s="29"/>
      <c r="D38" s="29"/>
      <c r="E38" s="29"/>
      <c r="F38" s="30" t="s">
        <v>109</v>
      </c>
      <c r="G38" s="30"/>
      <c r="H38" s="30"/>
      <c r="I38" s="31">
        <f>3120208.78</f>
        <v>3120208.78</v>
      </c>
      <c r="J38" s="31"/>
      <c r="K38" s="32">
        <f>5998475.78</f>
        <v>5998475.78</v>
      </c>
      <c r="L38" s="32"/>
      <c r="M38" s="33">
        <f>1803461.53</f>
        <v>1803461.53</v>
      </c>
      <c r="N38" s="34" t="s">
        <v>110</v>
      </c>
      <c r="O38" s="35" t="s">
        <v>111</v>
      </c>
      <c r="P38" s="31">
        <f>1316747.25</f>
        <v>1316747.25</v>
      </c>
      <c r="Q38" s="31"/>
      <c r="R38" s="36">
        <f>4195014.25</f>
        <v>4195014.25</v>
      </c>
      <c r="S38" s="36"/>
    </row>
    <row r="39" spans="1:19" s="1" customFormat="1" ht="13.5" customHeight="1">
      <c r="A39" s="29" t="s">
        <v>112</v>
      </c>
      <c r="B39" s="29"/>
      <c r="C39" s="29"/>
      <c r="D39" s="29"/>
      <c r="E39" s="29"/>
      <c r="F39" s="30" t="s">
        <v>113</v>
      </c>
      <c r="G39" s="30"/>
      <c r="H39" s="30"/>
      <c r="I39" s="31">
        <f>2765208.78</f>
        <v>2765208.78</v>
      </c>
      <c r="J39" s="31"/>
      <c r="K39" s="32">
        <f>5023475.78</f>
        <v>5023475.78</v>
      </c>
      <c r="L39" s="32"/>
      <c r="M39" s="33">
        <f>1597151.53</f>
        <v>1597151.53</v>
      </c>
      <c r="N39" s="34" t="s">
        <v>114</v>
      </c>
      <c r="O39" s="35" t="s">
        <v>115</v>
      </c>
      <c r="P39" s="31">
        <f>1168057.25</f>
        <v>1168057.25</v>
      </c>
      <c r="Q39" s="31"/>
      <c r="R39" s="36">
        <f>3426324.25</f>
        <v>3426324.25</v>
      </c>
      <c r="S39" s="36"/>
    </row>
    <row r="40" spans="1:19" s="1" customFormat="1" ht="24" customHeight="1">
      <c r="A40" s="29" t="s">
        <v>116</v>
      </c>
      <c r="B40" s="29"/>
      <c r="C40" s="29"/>
      <c r="D40" s="29"/>
      <c r="E40" s="29"/>
      <c r="F40" s="30" t="s">
        <v>117</v>
      </c>
      <c r="G40" s="30"/>
      <c r="H40" s="30"/>
      <c r="I40" s="31">
        <f>2175733</f>
        <v>2175733</v>
      </c>
      <c r="J40" s="31"/>
      <c r="K40" s="32">
        <f>3881000</f>
        <v>3881000</v>
      </c>
      <c r="L40" s="32"/>
      <c r="M40" s="33">
        <f>1151458.62</f>
        <v>1151458.62</v>
      </c>
      <c r="N40" s="34" t="s">
        <v>118</v>
      </c>
      <c r="O40" s="35" t="s">
        <v>119</v>
      </c>
      <c r="P40" s="31">
        <f>1024274.38</f>
        <v>1024274.38</v>
      </c>
      <c r="Q40" s="31"/>
      <c r="R40" s="36">
        <f>2729541.38</f>
        <v>2729541.38</v>
      </c>
      <c r="S40" s="36"/>
    </row>
    <row r="41" spans="1:19" s="1" customFormat="1" ht="13.5" customHeight="1">
      <c r="A41" s="29" t="s">
        <v>120</v>
      </c>
      <c r="B41" s="29"/>
      <c r="C41" s="29"/>
      <c r="D41" s="29"/>
      <c r="E41" s="29"/>
      <c r="F41" s="30" t="s">
        <v>121</v>
      </c>
      <c r="G41" s="30"/>
      <c r="H41" s="30"/>
      <c r="I41" s="31">
        <f>445475.78</f>
        <v>445475.78</v>
      </c>
      <c r="J41" s="31"/>
      <c r="K41" s="32">
        <f>750475.78</f>
        <v>750475.78</v>
      </c>
      <c r="L41" s="32"/>
      <c r="M41" s="33">
        <f>330332.91</f>
        <v>330332.91</v>
      </c>
      <c r="N41" s="34" t="s">
        <v>122</v>
      </c>
      <c r="O41" s="35" t="s">
        <v>123</v>
      </c>
      <c r="P41" s="31">
        <f>115142.87</f>
        <v>115142.87</v>
      </c>
      <c r="Q41" s="31"/>
      <c r="R41" s="36">
        <f>420142.87</f>
        <v>420142.87</v>
      </c>
      <c r="S41" s="36"/>
    </row>
    <row r="42" spans="1:19" s="1" customFormat="1" ht="24" customHeight="1">
      <c r="A42" s="29" t="s">
        <v>124</v>
      </c>
      <c r="B42" s="29"/>
      <c r="C42" s="29"/>
      <c r="D42" s="29"/>
      <c r="E42" s="29"/>
      <c r="F42" s="30" t="s">
        <v>125</v>
      </c>
      <c r="G42" s="30"/>
      <c r="H42" s="30"/>
      <c r="I42" s="31">
        <f>20000</f>
        <v>20000</v>
      </c>
      <c r="J42" s="31"/>
      <c r="K42" s="32">
        <f>60000</f>
        <v>60000</v>
      </c>
      <c r="L42" s="32"/>
      <c r="M42" s="33">
        <f>10600</f>
        <v>10600</v>
      </c>
      <c r="N42" s="34" t="s">
        <v>126</v>
      </c>
      <c r="O42" s="35" t="s">
        <v>127</v>
      </c>
      <c r="P42" s="31">
        <f>9400</f>
        <v>9400</v>
      </c>
      <c r="Q42" s="31"/>
      <c r="R42" s="36">
        <f>49400</f>
        <v>49400</v>
      </c>
      <c r="S42" s="36"/>
    </row>
    <row r="43" spans="1:19" s="1" customFormat="1" ht="13.5" customHeight="1">
      <c r="A43" s="29" t="s">
        <v>128</v>
      </c>
      <c r="B43" s="29"/>
      <c r="C43" s="29"/>
      <c r="D43" s="29"/>
      <c r="E43" s="29"/>
      <c r="F43" s="30" t="s">
        <v>129</v>
      </c>
      <c r="G43" s="30"/>
      <c r="H43" s="30"/>
      <c r="I43" s="31">
        <f>7500</f>
        <v>7500</v>
      </c>
      <c r="J43" s="31"/>
      <c r="K43" s="32">
        <f>15500</f>
        <v>15500</v>
      </c>
      <c r="L43" s="32"/>
      <c r="M43" s="33">
        <f>3260</f>
        <v>3260</v>
      </c>
      <c r="N43" s="34" t="s">
        <v>130</v>
      </c>
      <c r="O43" s="35" t="s">
        <v>131</v>
      </c>
      <c r="P43" s="31">
        <f>4240</f>
        <v>4240</v>
      </c>
      <c r="Q43" s="31"/>
      <c r="R43" s="36">
        <f>12240</f>
        <v>12240</v>
      </c>
      <c r="S43" s="36"/>
    </row>
    <row r="44" spans="1:19" s="1" customFormat="1" ht="13.5" customHeight="1">
      <c r="A44" s="29" t="s">
        <v>132</v>
      </c>
      <c r="B44" s="29"/>
      <c r="C44" s="29"/>
      <c r="D44" s="29"/>
      <c r="E44" s="29"/>
      <c r="F44" s="30" t="s">
        <v>133</v>
      </c>
      <c r="G44" s="30"/>
      <c r="H44" s="30"/>
      <c r="I44" s="31">
        <f>116500</f>
        <v>116500</v>
      </c>
      <c r="J44" s="31"/>
      <c r="K44" s="32">
        <f>316500</f>
        <v>316500</v>
      </c>
      <c r="L44" s="32"/>
      <c r="M44" s="33">
        <f>101500</f>
        <v>101500</v>
      </c>
      <c r="N44" s="34" t="s">
        <v>134</v>
      </c>
      <c r="O44" s="35" t="s">
        <v>135</v>
      </c>
      <c r="P44" s="31">
        <f>15000</f>
        <v>15000</v>
      </c>
      <c r="Q44" s="31"/>
      <c r="R44" s="36">
        <f>215000</f>
        <v>215000</v>
      </c>
      <c r="S44" s="36"/>
    </row>
    <row r="45" spans="1:19" s="1" customFormat="1" ht="13.5" customHeight="1">
      <c r="A45" s="29" t="s">
        <v>136</v>
      </c>
      <c r="B45" s="29"/>
      <c r="C45" s="29"/>
      <c r="D45" s="29"/>
      <c r="E45" s="29"/>
      <c r="F45" s="30" t="s">
        <v>113</v>
      </c>
      <c r="G45" s="30"/>
      <c r="H45" s="30"/>
      <c r="I45" s="31">
        <f>35000</f>
        <v>35000</v>
      </c>
      <c r="J45" s="31"/>
      <c r="K45" s="32">
        <f>85000</f>
        <v>85000</v>
      </c>
      <c r="L45" s="32"/>
      <c r="M45" s="33">
        <f>15000</f>
        <v>15000</v>
      </c>
      <c r="N45" s="34" t="s">
        <v>137</v>
      </c>
      <c r="O45" s="35" t="s">
        <v>138</v>
      </c>
      <c r="P45" s="31">
        <f>20000</f>
        <v>20000</v>
      </c>
      <c r="Q45" s="31"/>
      <c r="R45" s="36">
        <f>70000</f>
        <v>70000</v>
      </c>
      <c r="S45" s="36"/>
    </row>
    <row r="46" spans="1:19" s="1" customFormat="1" ht="24" customHeight="1">
      <c r="A46" s="29" t="s">
        <v>139</v>
      </c>
      <c r="B46" s="29"/>
      <c r="C46" s="29"/>
      <c r="D46" s="29"/>
      <c r="E46" s="29"/>
      <c r="F46" s="30" t="s">
        <v>117</v>
      </c>
      <c r="G46" s="30"/>
      <c r="H46" s="30"/>
      <c r="I46" s="31">
        <f>35000</f>
        <v>35000</v>
      </c>
      <c r="J46" s="31"/>
      <c r="K46" s="32">
        <f>85000</f>
        <v>85000</v>
      </c>
      <c r="L46" s="32"/>
      <c r="M46" s="33">
        <f>15000</f>
        <v>15000</v>
      </c>
      <c r="N46" s="34" t="s">
        <v>137</v>
      </c>
      <c r="O46" s="35" t="s">
        <v>138</v>
      </c>
      <c r="P46" s="31">
        <f>20000</f>
        <v>20000</v>
      </c>
      <c r="Q46" s="31"/>
      <c r="R46" s="36">
        <f>70000</f>
        <v>70000</v>
      </c>
      <c r="S46" s="36"/>
    </row>
    <row r="47" spans="1:19" s="1" customFormat="1" ht="33.75" customHeight="1">
      <c r="A47" s="29" t="s">
        <v>140</v>
      </c>
      <c r="B47" s="29"/>
      <c r="C47" s="29"/>
      <c r="D47" s="29"/>
      <c r="E47" s="29"/>
      <c r="F47" s="30" t="s">
        <v>141</v>
      </c>
      <c r="G47" s="30"/>
      <c r="H47" s="30"/>
      <c r="I47" s="31">
        <f>320000</f>
        <v>320000</v>
      </c>
      <c r="J47" s="31"/>
      <c r="K47" s="32">
        <f>890000</f>
        <v>890000</v>
      </c>
      <c r="L47" s="32"/>
      <c r="M47" s="33">
        <f>191310</f>
        <v>191310</v>
      </c>
      <c r="N47" s="34" t="s">
        <v>142</v>
      </c>
      <c r="O47" s="35" t="s">
        <v>143</v>
      </c>
      <c r="P47" s="31">
        <f>128690</f>
        <v>128690</v>
      </c>
      <c r="Q47" s="31"/>
      <c r="R47" s="36">
        <f>698690</f>
        <v>698690</v>
      </c>
      <c r="S47" s="36"/>
    </row>
    <row r="48" spans="1:19" s="1" customFormat="1" ht="24" customHeight="1">
      <c r="A48" s="29" t="s">
        <v>144</v>
      </c>
      <c r="B48" s="29"/>
      <c r="C48" s="29"/>
      <c r="D48" s="29"/>
      <c r="E48" s="29"/>
      <c r="F48" s="30" t="s">
        <v>117</v>
      </c>
      <c r="G48" s="30"/>
      <c r="H48" s="30"/>
      <c r="I48" s="31">
        <f>25000</f>
        <v>25000</v>
      </c>
      <c r="J48" s="31"/>
      <c r="K48" s="32">
        <f>50000</f>
        <v>50000</v>
      </c>
      <c r="L48" s="32"/>
      <c r="M48" s="33">
        <f>9565.23</f>
        <v>9565.23</v>
      </c>
      <c r="N48" s="34" t="s">
        <v>145</v>
      </c>
      <c r="O48" s="35" t="s">
        <v>146</v>
      </c>
      <c r="P48" s="31">
        <f>15434.77</f>
        <v>15434.77</v>
      </c>
      <c r="Q48" s="31"/>
      <c r="R48" s="36">
        <f>40434.77</f>
        <v>40434.77</v>
      </c>
      <c r="S48" s="36"/>
    </row>
    <row r="49" spans="1:19" s="1" customFormat="1" ht="13.5" customHeight="1">
      <c r="A49" s="29" t="s">
        <v>147</v>
      </c>
      <c r="B49" s="29"/>
      <c r="C49" s="29"/>
      <c r="D49" s="29"/>
      <c r="E49" s="29"/>
      <c r="F49" s="30" t="s">
        <v>121</v>
      </c>
      <c r="G49" s="30"/>
      <c r="H49" s="30"/>
      <c r="I49" s="31">
        <f>295000</f>
        <v>295000</v>
      </c>
      <c r="J49" s="31"/>
      <c r="K49" s="32">
        <f>840000</f>
        <v>840000</v>
      </c>
      <c r="L49" s="32"/>
      <c r="M49" s="33">
        <f>181744.77</f>
        <v>181744.77</v>
      </c>
      <c r="N49" s="34" t="s">
        <v>148</v>
      </c>
      <c r="O49" s="35" t="s">
        <v>149</v>
      </c>
      <c r="P49" s="31">
        <f>113255.23</f>
        <v>113255.23</v>
      </c>
      <c r="Q49" s="31"/>
      <c r="R49" s="36">
        <f>658255.23</f>
        <v>658255.23</v>
      </c>
      <c r="S49" s="36"/>
    </row>
    <row r="50" spans="1:19" s="1" customFormat="1" ht="13.5" customHeight="1">
      <c r="A50" s="29" t="s">
        <v>150</v>
      </c>
      <c r="B50" s="29"/>
      <c r="C50" s="29"/>
      <c r="D50" s="29"/>
      <c r="E50" s="29"/>
      <c r="F50" s="30" t="s">
        <v>151</v>
      </c>
      <c r="G50" s="30"/>
      <c r="H50" s="30"/>
      <c r="I50" s="31">
        <f>297399.76</f>
        <v>297399.76</v>
      </c>
      <c r="J50" s="31"/>
      <c r="K50" s="32">
        <f>700500</f>
        <v>700500</v>
      </c>
      <c r="L50" s="32"/>
      <c r="M50" s="33">
        <f>230083.68</f>
        <v>230083.68</v>
      </c>
      <c r="N50" s="34" t="s">
        <v>152</v>
      </c>
      <c r="O50" s="35" t="s">
        <v>57</v>
      </c>
      <c r="P50" s="31">
        <f>67316.08</f>
        <v>67316.08</v>
      </c>
      <c r="Q50" s="31"/>
      <c r="R50" s="36">
        <f>470416.32</f>
        <v>470416.32</v>
      </c>
      <c r="S50" s="36"/>
    </row>
    <row r="51" spans="1:19" s="1" customFormat="1" ht="33.75" customHeight="1">
      <c r="A51" s="29" t="s">
        <v>153</v>
      </c>
      <c r="B51" s="29"/>
      <c r="C51" s="29"/>
      <c r="D51" s="29"/>
      <c r="E51" s="29"/>
      <c r="F51" s="30" t="s">
        <v>154</v>
      </c>
      <c r="G51" s="30"/>
      <c r="H51" s="30"/>
      <c r="I51" s="31">
        <f>297399.76</f>
        <v>297399.76</v>
      </c>
      <c r="J51" s="31"/>
      <c r="K51" s="32">
        <f>700500</f>
        <v>700500</v>
      </c>
      <c r="L51" s="32"/>
      <c r="M51" s="33">
        <f>230083.68</f>
        <v>230083.68</v>
      </c>
      <c r="N51" s="34" t="s">
        <v>152</v>
      </c>
      <c r="O51" s="35" t="s">
        <v>57</v>
      </c>
      <c r="P51" s="31">
        <f>67316.08</f>
        <v>67316.08</v>
      </c>
      <c r="Q51" s="31"/>
      <c r="R51" s="36">
        <f>470416.32</f>
        <v>470416.32</v>
      </c>
      <c r="S51" s="36"/>
    </row>
    <row r="52" spans="1:19" s="1" customFormat="1" ht="13.5" customHeight="1">
      <c r="A52" s="29" t="s">
        <v>155</v>
      </c>
      <c r="B52" s="29"/>
      <c r="C52" s="29"/>
      <c r="D52" s="29"/>
      <c r="E52" s="29"/>
      <c r="F52" s="30" t="s">
        <v>47</v>
      </c>
      <c r="G52" s="30"/>
      <c r="H52" s="30"/>
      <c r="I52" s="31">
        <f>232831</f>
        <v>232831</v>
      </c>
      <c r="J52" s="31"/>
      <c r="K52" s="32">
        <f>538000</f>
        <v>538000</v>
      </c>
      <c r="L52" s="32"/>
      <c r="M52" s="33">
        <f>180191.76</f>
        <v>180191.76</v>
      </c>
      <c r="N52" s="34" t="s">
        <v>156</v>
      </c>
      <c r="O52" s="35" t="s">
        <v>157</v>
      </c>
      <c r="P52" s="31">
        <f>52639.24</f>
        <v>52639.24</v>
      </c>
      <c r="Q52" s="31"/>
      <c r="R52" s="36">
        <f>357808.24</f>
        <v>357808.24</v>
      </c>
      <c r="S52" s="36"/>
    </row>
    <row r="53" spans="1:19" s="1" customFormat="1" ht="45" customHeight="1">
      <c r="A53" s="29" t="s">
        <v>158</v>
      </c>
      <c r="B53" s="29"/>
      <c r="C53" s="29"/>
      <c r="D53" s="29"/>
      <c r="E53" s="29"/>
      <c r="F53" s="30" t="s">
        <v>51</v>
      </c>
      <c r="G53" s="30"/>
      <c r="H53" s="30"/>
      <c r="I53" s="31">
        <f>64568.76</f>
        <v>64568.76</v>
      </c>
      <c r="J53" s="31"/>
      <c r="K53" s="32">
        <f>162500</f>
        <v>162500</v>
      </c>
      <c r="L53" s="32"/>
      <c r="M53" s="33">
        <f>49891.92</f>
        <v>49891.92</v>
      </c>
      <c r="N53" s="34" t="s">
        <v>159</v>
      </c>
      <c r="O53" s="35" t="s">
        <v>160</v>
      </c>
      <c r="P53" s="31">
        <f>14676.84</f>
        <v>14676.84</v>
      </c>
      <c r="Q53" s="31"/>
      <c r="R53" s="36">
        <f>112608.08</f>
        <v>112608.08</v>
      </c>
      <c r="S53" s="36"/>
    </row>
    <row r="54" spans="1:19" s="1" customFormat="1" ht="13.5" customHeight="1">
      <c r="A54" s="29" t="s">
        <v>161</v>
      </c>
      <c r="B54" s="29"/>
      <c r="C54" s="29"/>
      <c r="D54" s="29"/>
      <c r="E54" s="29"/>
      <c r="F54" s="30" t="s">
        <v>162</v>
      </c>
      <c r="G54" s="30"/>
      <c r="H54" s="30"/>
      <c r="I54" s="31">
        <f>129209.87</f>
        <v>129209.87</v>
      </c>
      <c r="J54" s="31"/>
      <c r="K54" s="32">
        <f>205900</f>
        <v>205900</v>
      </c>
      <c r="L54" s="32"/>
      <c r="M54" s="33">
        <f>57988.64</f>
        <v>57988.64</v>
      </c>
      <c r="N54" s="34" t="s">
        <v>163</v>
      </c>
      <c r="O54" s="35" t="s">
        <v>164</v>
      </c>
      <c r="P54" s="31">
        <f>71221.23</f>
        <v>71221.23</v>
      </c>
      <c r="Q54" s="31"/>
      <c r="R54" s="36">
        <f>147911.36</f>
        <v>147911.36</v>
      </c>
      <c r="S54" s="36"/>
    </row>
    <row r="55" spans="1:19" s="1" customFormat="1" ht="66" customHeight="1">
      <c r="A55" s="29" t="s">
        <v>165</v>
      </c>
      <c r="B55" s="29"/>
      <c r="C55" s="29"/>
      <c r="D55" s="29"/>
      <c r="E55" s="29"/>
      <c r="F55" s="30" t="s">
        <v>166</v>
      </c>
      <c r="G55" s="30"/>
      <c r="H55" s="30"/>
      <c r="I55" s="31">
        <f>47331.7</f>
        <v>47331.7</v>
      </c>
      <c r="J55" s="31"/>
      <c r="K55" s="32">
        <f>98300</f>
        <v>98300</v>
      </c>
      <c r="L55" s="32"/>
      <c r="M55" s="33">
        <f>34212.19</f>
        <v>34212.19</v>
      </c>
      <c r="N55" s="34" t="s">
        <v>167</v>
      </c>
      <c r="O55" s="35" t="s">
        <v>168</v>
      </c>
      <c r="P55" s="31">
        <f>13119.51</f>
        <v>13119.51</v>
      </c>
      <c r="Q55" s="31"/>
      <c r="R55" s="36">
        <f>64087.81</f>
        <v>64087.81</v>
      </c>
      <c r="S55" s="36"/>
    </row>
    <row r="56" spans="1:19" s="1" customFormat="1" ht="13.5" customHeight="1">
      <c r="A56" s="29" t="s">
        <v>169</v>
      </c>
      <c r="B56" s="29"/>
      <c r="C56" s="29"/>
      <c r="D56" s="29"/>
      <c r="E56" s="29"/>
      <c r="F56" s="30" t="s">
        <v>47</v>
      </c>
      <c r="G56" s="30"/>
      <c r="H56" s="30"/>
      <c r="I56" s="31">
        <f>47331.7</f>
        <v>47331.7</v>
      </c>
      <c r="J56" s="31"/>
      <c r="K56" s="32">
        <f>98300</f>
        <v>98300</v>
      </c>
      <c r="L56" s="32"/>
      <c r="M56" s="33">
        <f>34212.19</f>
        <v>34212.19</v>
      </c>
      <c r="N56" s="34" t="s">
        <v>167</v>
      </c>
      <c r="O56" s="35" t="s">
        <v>168</v>
      </c>
      <c r="P56" s="31">
        <f>13119.51</f>
        <v>13119.51</v>
      </c>
      <c r="Q56" s="31"/>
      <c r="R56" s="36">
        <f>64087.81</f>
        <v>64087.81</v>
      </c>
      <c r="S56" s="36"/>
    </row>
    <row r="57" spans="1:19" s="1" customFormat="1" ht="66" customHeight="1">
      <c r="A57" s="29" t="s">
        <v>170</v>
      </c>
      <c r="B57" s="29"/>
      <c r="C57" s="29"/>
      <c r="D57" s="29"/>
      <c r="E57" s="29"/>
      <c r="F57" s="30" t="s">
        <v>171</v>
      </c>
      <c r="G57" s="30"/>
      <c r="H57" s="30"/>
      <c r="I57" s="31">
        <f>81878.17</f>
        <v>81878.17</v>
      </c>
      <c r="J57" s="31"/>
      <c r="K57" s="32">
        <f>107600</f>
        <v>107600</v>
      </c>
      <c r="L57" s="32"/>
      <c r="M57" s="33">
        <f>23776.45</f>
        <v>23776.45</v>
      </c>
      <c r="N57" s="34" t="s">
        <v>172</v>
      </c>
      <c r="O57" s="35" t="s">
        <v>173</v>
      </c>
      <c r="P57" s="31">
        <f>58101.72</f>
        <v>58101.72</v>
      </c>
      <c r="Q57" s="31"/>
      <c r="R57" s="36">
        <f>83823.55</f>
        <v>83823.55</v>
      </c>
      <c r="S57" s="36"/>
    </row>
    <row r="58" spans="1:19" s="1" customFormat="1" ht="24" customHeight="1">
      <c r="A58" s="29" t="s">
        <v>174</v>
      </c>
      <c r="B58" s="29"/>
      <c r="C58" s="29"/>
      <c r="D58" s="29"/>
      <c r="E58" s="29"/>
      <c r="F58" s="30" t="s">
        <v>93</v>
      </c>
      <c r="G58" s="30"/>
      <c r="H58" s="30"/>
      <c r="I58" s="31">
        <f>14300</f>
        <v>14300</v>
      </c>
      <c r="J58" s="31"/>
      <c r="K58" s="32">
        <f>14300</f>
        <v>14300</v>
      </c>
      <c r="L58" s="32"/>
      <c r="M58" s="33">
        <f>14300</f>
        <v>14300</v>
      </c>
      <c r="N58" s="34" t="s">
        <v>96</v>
      </c>
      <c r="O58" s="35" t="s">
        <v>96</v>
      </c>
      <c r="P58" s="37" t="s">
        <v>1</v>
      </c>
      <c r="Q58" s="37"/>
      <c r="R58" s="38" t="s">
        <v>1</v>
      </c>
      <c r="S58" s="38"/>
    </row>
    <row r="59" spans="1:19" s="1" customFormat="1" ht="45" customHeight="1">
      <c r="A59" s="29" t="s">
        <v>175</v>
      </c>
      <c r="B59" s="29"/>
      <c r="C59" s="29"/>
      <c r="D59" s="29"/>
      <c r="E59" s="29"/>
      <c r="F59" s="30" t="s">
        <v>51</v>
      </c>
      <c r="G59" s="30"/>
      <c r="H59" s="30"/>
      <c r="I59" s="31">
        <f>11878.17</f>
        <v>11878.17</v>
      </c>
      <c r="J59" s="31"/>
      <c r="K59" s="32">
        <f>28600</f>
        <v>28600</v>
      </c>
      <c r="L59" s="32"/>
      <c r="M59" s="33">
        <f>9476.45</f>
        <v>9476.45</v>
      </c>
      <c r="N59" s="34" t="s">
        <v>176</v>
      </c>
      <c r="O59" s="35" t="s">
        <v>177</v>
      </c>
      <c r="P59" s="31">
        <f>2401.72</f>
        <v>2401.72</v>
      </c>
      <c r="Q59" s="31"/>
      <c r="R59" s="36">
        <f>19123.55</f>
        <v>19123.55</v>
      </c>
      <c r="S59" s="36"/>
    </row>
    <row r="60" spans="1:19" s="1" customFormat="1" ht="24" customHeight="1">
      <c r="A60" s="29" t="s">
        <v>178</v>
      </c>
      <c r="B60" s="29"/>
      <c r="C60" s="29"/>
      <c r="D60" s="29"/>
      <c r="E60" s="29"/>
      <c r="F60" s="30" t="s">
        <v>117</v>
      </c>
      <c r="G60" s="30"/>
      <c r="H60" s="30"/>
      <c r="I60" s="31">
        <f>55700</f>
        <v>55700</v>
      </c>
      <c r="J60" s="31"/>
      <c r="K60" s="32">
        <f>64700</f>
        <v>64700</v>
      </c>
      <c r="L60" s="32"/>
      <c r="M60" s="34" t="s">
        <v>1</v>
      </c>
      <c r="N60" s="34" t="s">
        <v>103</v>
      </c>
      <c r="O60" s="35" t="s">
        <v>103</v>
      </c>
      <c r="P60" s="31">
        <f>55700</f>
        <v>55700</v>
      </c>
      <c r="Q60" s="31"/>
      <c r="R60" s="36">
        <f>64700</f>
        <v>64700</v>
      </c>
      <c r="S60" s="36"/>
    </row>
    <row r="61" spans="1:19" s="1" customFormat="1" ht="33.75" customHeight="1">
      <c r="A61" s="29" t="s">
        <v>179</v>
      </c>
      <c r="B61" s="29"/>
      <c r="C61" s="29"/>
      <c r="D61" s="29"/>
      <c r="E61" s="29"/>
      <c r="F61" s="30" t="s">
        <v>180</v>
      </c>
      <c r="G61" s="30"/>
      <c r="H61" s="30"/>
      <c r="I61" s="31">
        <f>370000</f>
        <v>370000</v>
      </c>
      <c r="J61" s="31"/>
      <c r="K61" s="32">
        <f>379000</f>
        <v>379000</v>
      </c>
      <c r="L61" s="32"/>
      <c r="M61" s="33">
        <f>138396</f>
        <v>138396</v>
      </c>
      <c r="N61" s="34" t="s">
        <v>181</v>
      </c>
      <c r="O61" s="35" t="s">
        <v>182</v>
      </c>
      <c r="P61" s="31">
        <f>231604</f>
        <v>231604</v>
      </c>
      <c r="Q61" s="31"/>
      <c r="R61" s="36">
        <f>240604</f>
        <v>240604</v>
      </c>
      <c r="S61" s="36"/>
    </row>
    <row r="62" spans="1:19" s="1" customFormat="1" ht="45" customHeight="1">
      <c r="A62" s="29" t="s">
        <v>183</v>
      </c>
      <c r="B62" s="29"/>
      <c r="C62" s="29"/>
      <c r="D62" s="29"/>
      <c r="E62" s="29"/>
      <c r="F62" s="30" t="s">
        <v>184</v>
      </c>
      <c r="G62" s="30"/>
      <c r="H62" s="30"/>
      <c r="I62" s="31">
        <f>10000</f>
        <v>10000</v>
      </c>
      <c r="J62" s="31"/>
      <c r="K62" s="32">
        <f>19000</f>
        <v>19000</v>
      </c>
      <c r="L62" s="32"/>
      <c r="M62" s="33">
        <f>6096</f>
        <v>6096</v>
      </c>
      <c r="N62" s="34" t="s">
        <v>185</v>
      </c>
      <c r="O62" s="35" t="s">
        <v>186</v>
      </c>
      <c r="P62" s="31">
        <f>3904</f>
        <v>3904</v>
      </c>
      <c r="Q62" s="31"/>
      <c r="R62" s="36">
        <f>12904</f>
        <v>12904</v>
      </c>
      <c r="S62" s="36"/>
    </row>
    <row r="63" spans="1:19" s="1" customFormat="1" ht="24" customHeight="1">
      <c r="A63" s="29" t="s">
        <v>187</v>
      </c>
      <c r="B63" s="29"/>
      <c r="C63" s="29"/>
      <c r="D63" s="29"/>
      <c r="E63" s="29"/>
      <c r="F63" s="30" t="s">
        <v>117</v>
      </c>
      <c r="G63" s="30"/>
      <c r="H63" s="30"/>
      <c r="I63" s="31">
        <f>10000</f>
        <v>10000</v>
      </c>
      <c r="J63" s="31"/>
      <c r="K63" s="32">
        <f>19000</f>
        <v>19000</v>
      </c>
      <c r="L63" s="32"/>
      <c r="M63" s="33">
        <f>6096</f>
        <v>6096</v>
      </c>
      <c r="N63" s="34" t="s">
        <v>185</v>
      </c>
      <c r="O63" s="35" t="s">
        <v>186</v>
      </c>
      <c r="P63" s="31">
        <f>3904</f>
        <v>3904</v>
      </c>
      <c r="Q63" s="31"/>
      <c r="R63" s="36">
        <f>12904</f>
        <v>12904</v>
      </c>
      <c r="S63" s="36"/>
    </row>
    <row r="64" spans="1:19" s="1" customFormat="1" ht="24" customHeight="1">
      <c r="A64" s="29" t="s">
        <v>188</v>
      </c>
      <c r="B64" s="29"/>
      <c r="C64" s="29"/>
      <c r="D64" s="29"/>
      <c r="E64" s="29"/>
      <c r="F64" s="30" t="s">
        <v>189</v>
      </c>
      <c r="G64" s="30"/>
      <c r="H64" s="30"/>
      <c r="I64" s="31">
        <f>100000</f>
        <v>100000</v>
      </c>
      <c r="J64" s="31"/>
      <c r="K64" s="32">
        <f>100000</f>
        <v>100000</v>
      </c>
      <c r="L64" s="32"/>
      <c r="M64" s="33">
        <f>100000</f>
        <v>100000</v>
      </c>
      <c r="N64" s="34" t="s">
        <v>96</v>
      </c>
      <c r="O64" s="35" t="s">
        <v>96</v>
      </c>
      <c r="P64" s="37" t="s">
        <v>1</v>
      </c>
      <c r="Q64" s="37"/>
      <c r="R64" s="38" t="s">
        <v>1</v>
      </c>
      <c r="S64" s="38"/>
    </row>
    <row r="65" spans="1:19" s="1" customFormat="1" ht="24" customHeight="1">
      <c r="A65" s="29" t="s">
        <v>190</v>
      </c>
      <c r="B65" s="29"/>
      <c r="C65" s="29"/>
      <c r="D65" s="29"/>
      <c r="E65" s="29"/>
      <c r="F65" s="30" t="s">
        <v>117</v>
      </c>
      <c r="G65" s="30"/>
      <c r="H65" s="30"/>
      <c r="I65" s="31">
        <f>100000</f>
        <v>100000</v>
      </c>
      <c r="J65" s="31"/>
      <c r="K65" s="32">
        <f>100000</f>
        <v>100000</v>
      </c>
      <c r="L65" s="32"/>
      <c r="M65" s="33">
        <f>100000</f>
        <v>100000</v>
      </c>
      <c r="N65" s="34" t="s">
        <v>96</v>
      </c>
      <c r="O65" s="35" t="s">
        <v>96</v>
      </c>
      <c r="P65" s="37" t="s">
        <v>1</v>
      </c>
      <c r="Q65" s="37"/>
      <c r="R65" s="38" t="s">
        <v>1</v>
      </c>
      <c r="S65" s="38"/>
    </row>
    <row r="66" spans="1:19" s="1" customFormat="1" ht="24" customHeight="1">
      <c r="A66" s="29" t="s">
        <v>191</v>
      </c>
      <c r="B66" s="29"/>
      <c r="C66" s="29"/>
      <c r="D66" s="29"/>
      <c r="E66" s="29"/>
      <c r="F66" s="30" t="s">
        <v>192</v>
      </c>
      <c r="G66" s="30"/>
      <c r="H66" s="30"/>
      <c r="I66" s="31">
        <f>160000</f>
        <v>160000</v>
      </c>
      <c r="J66" s="31"/>
      <c r="K66" s="32">
        <f>160000</f>
        <v>160000</v>
      </c>
      <c r="L66" s="32"/>
      <c r="M66" s="34" t="s">
        <v>1</v>
      </c>
      <c r="N66" s="34" t="s">
        <v>103</v>
      </c>
      <c r="O66" s="35" t="s">
        <v>103</v>
      </c>
      <c r="P66" s="31">
        <f>160000</f>
        <v>160000</v>
      </c>
      <c r="Q66" s="31"/>
      <c r="R66" s="36">
        <f>160000</f>
        <v>160000</v>
      </c>
      <c r="S66" s="36"/>
    </row>
    <row r="67" spans="1:19" s="1" customFormat="1" ht="24" customHeight="1">
      <c r="A67" s="29" t="s">
        <v>193</v>
      </c>
      <c r="B67" s="29"/>
      <c r="C67" s="29"/>
      <c r="D67" s="29"/>
      <c r="E67" s="29"/>
      <c r="F67" s="30" t="s">
        <v>117</v>
      </c>
      <c r="G67" s="30"/>
      <c r="H67" s="30"/>
      <c r="I67" s="31">
        <f>160000</f>
        <v>160000</v>
      </c>
      <c r="J67" s="31"/>
      <c r="K67" s="32">
        <f>160000</f>
        <v>160000</v>
      </c>
      <c r="L67" s="32"/>
      <c r="M67" s="34" t="s">
        <v>1</v>
      </c>
      <c r="N67" s="34" t="s">
        <v>103</v>
      </c>
      <c r="O67" s="35" t="s">
        <v>103</v>
      </c>
      <c r="P67" s="31">
        <f>160000</f>
        <v>160000</v>
      </c>
      <c r="Q67" s="31"/>
      <c r="R67" s="36">
        <f>160000</f>
        <v>160000</v>
      </c>
      <c r="S67" s="36"/>
    </row>
    <row r="68" spans="1:19" s="1" customFormat="1" ht="33.75" customHeight="1">
      <c r="A68" s="29" t="s">
        <v>194</v>
      </c>
      <c r="B68" s="29"/>
      <c r="C68" s="29"/>
      <c r="D68" s="29"/>
      <c r="E68" s="29"/>
      <c r="F68" s="30" t="s">
        <v>195</v>
      </c>
      <c r="G68" s="30"/>
      <c r="H68" s="30"/>
      <c r="I68" s="31">
        <f>100000</f>
        <v>100000</v>
      </c>
      <c r="J68" s="31"/>
      <c r="K68" s="32">
        <f>100000</f>
        <v>100000</v>
      </c>
      <c r="L68" s="32"/>
      <c r="M68" s="33">
        <f>32300</f>
        <v>32300</v>
      </c>
      <c r="N68" s="34" t="s">
        <v>196</v>
      </c>
      <c r="O68" s="35" t="s">
        <v>196</v>
      </c>
      <c r="P68" s="31">
        <f>67700</f>
        <v>67700</v>
      </c>
      <c r="Q68" s="31"/>
      <c r="R68" s="36">
        <f>67700</f>
        <v>67700</v>
      </c>
      <c r="S68" s="36"/>
    </row>
    <row r="69" spans="1:19" s="1" customFormat="1" ht="24" customHeight="1">
      <c r="A69" s="29" t="s">
        <v>197</v>
      </c>
      <c r="B69" s="29"/>
      <c r="C69" s="29"/>
      <c r="D69" s="29"/>
      <c r="E69" s="29"/>
      <c r="F69" s="30" t="s">
        <v>117</v>
      </c>
      <c r="G69" s="30"/>
      <c r="H69" s="30"/>
      <c r="I69" s="31">
        <f>100000</f>
        <v>100000</v>
      </c>
      <c r="J69" s="31"/>
      <c r="K69" s="32">
        <f>100000</f>
        <v>100000</v>
      </c>
      <c r="L69" s="32"/>
      <c r="M69" s="33">
        <f>32300</f>
        <v>32300</v>
      </c>
      <c r="N69" s="34" t="s">
        <v>196</v>
      </c>
      <c r="O69" s="35" t="s">
        <v>196</v>
      </c>
      <c r="P69" s="31">
        <f>67700</f>
        <v>67700</v>
      </c>
      <c r="Q69" s="31"/>
      <c r="R69" s="36">
        <f>67700</f>
        <v>67700</v>
      </c>
      <c r="S69" s="36"/>
    </row>
    <row r="70" spans="1:19" s="1" customFormat="1" ht="24" customHeight="1">
      <c r="A70" s="29" t="s">
        <v>198</v>
      </c>
      <c r="B70" s="29"/>
      <c r="C70" s="29"/>
      <c r="D70" s="29"/>
      <c r="E70" s="29"/>
      <c r="F70" s="30" t="s">
        <v>199</v>
      </c>
      <c r="G70" s="30"/>
      <c r="H70" s="30"/>
      <c r="I70" s="37" t="s">
        <v>1</v>
      </c>
      <c r="J70" s="37"/>
      <c r="K70" s="32">
        <f>1500</f>
        <v>1500</v>
      </c>
      <c r="L70" s="32"/>
      <c r="M70" s="34" t="s">
        <v>1</v>
      </c>
      <c r="N70" s="34" t="s">
        <v>103</v>
      </c>
      <c r="O70" s="35" t="s">
        <v>103</v>
      </c>
      <c r="P70" s="37" t="s">
        <v>1</v>
      </c>
      <c r="Q70" s="37"/>
      <c r="R70" s="36">
        <f>1500</f>
        <v>1500</v>
      </c>
      <c r="S70" s="36"/>
    </row>
    <row r="71" spans="1:19" s="1" customFormat="1" ht="33.75" customHeight="1">
      <c r="A71" s="29" t="s">
        <v>200</v>
      </c>
      <c r="B71" s="29"/>
      <c r="C71" s="29"/>
      <c r="D71" s="29"/>
      <c r="E71" s="29"/>
      <c r="F71" s="30" t="s">
        <v>201</v>
      </c>
      <c r="G71" s="30"/>
      <c r="H71" s="30"/>
      <c r="I71" s="37" t="s">
        <v>1</v>
      </c>
      <c r="J71" s="37"/>
      <c r="K71" s="32">
        <f>1500</f>
        <v>1500</v>
      </c>
      <c r="L71" s="32"/>
      <c r="M71" s="34" t="s">
        <v>1</v>
      </c>
      <c r="N71" s="34" t="s">
        <v>103</v>
      </c>
      <c r="O71" s="35" t="s">
        <v>103</v>
      </c>
      <c r="P71" s="37" t="s">
        <v>1</v>
      </c>
      <c r="Q71" s="37"/>
      <c r="R71" s="36">
        <f>1500</f>
        <v>1500</v>
      </c>
      <c r="S71" s="36"/>
    </row>
    <row r="72" spans="1:19" s="1" customFormat="1" ht="24" customHeight="1">
      <c r="A72" s="29" t="s">
        <v>202</v>
      </c>
      <c r="B72" s="29"/>
      <c r="C72" s="29"/>
      <c r="D72" s="29"/>
      <c r="E72" s="29"/>
      <c r="F72" s="30" t="s">
        <v>117</v>
      </c>
      <c r="G72" s="30"/>
      <c r="H72" s="30"/>
      <c r="I72" s="37" t="s">
        <v>1</v>
      </c>
      <c r="J72" s="37"/>
      <c r="K72" s="32">
        <f>1500</f>
        <v>1500</v>
      </c>
      <c r="L72" s="32"/>
      <c r="M72" s="34" t="s">
        <v>1</v>
      </c>
      <c r="N72" s="34" t="s">
        <v>103</v>
      </c>
      <c r="O72" s="35" t="s">
        <v>103</v>
      </c>
      <c r="P72" s="37" t="s">
        <v>1</v>
      </c>
      <c r="Q72" s="37"/>
      <c r="R72" s="36">
        <f>1500</f>
        <v>1500</v>
      </c>
      <c r="S72" s="36"/>
    </row>
    <row r="73" spans="1:19" s="1" customFormat="1" ht="13.5" customHeight="1">
      <c r="A73" s="29" t="s">
        <v>203</v>
      </c>
      <c r="B73" s="29"/>
      <c r="C73" s="29"/>
      <c r="D73" s="29"/>
      <c r="E73" s="29"/>
      <c r="F73" s="30" t="s">
        <v>204</v>
      </c>
      <c r="G73" s="30"/>
      <c r="H73" s="30"/>
      <c r="I73" s="31">
        <f>9098242.16</f>
        <v>9098242.16</v>
      </c>
      <c r="J73" s="31"/>
      <c r="K73" s="32">
        <f>13898242.16</f>
        <v>13898242.16</v>
      </c>
      <c r="L73" s="32"/>
      <c r="M73" s="33">
        <f>6543713.19</f>
        <v>6543713.19</v>
      </c>
      <c r="N73" s="34" t="s">
        <v>205</v>
      </c>
      <c r="O73" s="35" t="s">
        <v>206</v>
      </c>
      <c r="P73" s="31">
        <f>2554528.97</f>
        <v>2554528.97</v>
      </c>
      <c r="Q73" s="31"/>
      <c r="R73" s="36">
        <f>7354528.97</f>
        <v>7354528.97</v>
      </c>
      <c r="S73" s="36"/>
    </row>
    <row r="74" spans="1:19" s="1" customFormat="1" ht="45" customHeight="1">
      <c r="A74" s="29" t="s">
        <v>207</v>
      </c>
      <c r="B74" s="29"/>
      <c r="C74" s="29"/>
      <c r="D74" s="29"/>
      <c r="E74" s="29"/>
      <c r="F74" s="30" t="s">
        <v>208</v>
      </c>
      <c r="G74" s="30"/>
      <c r="H74" s="30"/>
      <c r="I74" s="31">
        <f>1798242.16</f>
        <v>1798242.16</v>
      </c>
      <c r="J74" s="31"/>
      <c r="K74" s="32">
        <f>2198242.16</f>
        <v>2198242.16</v>
      </c>
      <c r="L74" s="32"/>
      <c r="M74" s="33">
        <f>199965.77</f>
        <v>199965.77</v>
      </c>
      <c r="N74" s="34" t="s">
        <v>209</v>
      </c>
      <c r="O74" s="35" t="s">
        <v>210</v>
      </c>
      <c r="P74" s="31">
        <f>1598276.39</f>
        <v>1598276.39</v>
      </c>
      <c r="Q74" s="31"/>
      <c r="R74" s="36">
        <f>1998276.39</f>
        <v>1998276.39</v>
      </c>
      <c r="S74" s="36"/>
    </row>
    <row r="75" spans="1:19" s="1" customFormat="1" ht="24" customHeight="1">
      <c r="A75" s="29" t="s">
        <v>211</v>
      </c>
      <c r="B75" s="29"/>
      <c r="C75" s="29"/>
      <c r="D75" s="29"/>
      <c r="E75" s="29"/>
      <c r="F75" s="30" t="s">
        <v>117</v>
      </c>
      <c r="G75" s="30"/>
      <c r="H75" s="30"/>
      <c r="I75" s="31">
        <f>1798242.16</f>
        <v>1798242.16</v>
      </c>
      <c r="J75" s="31"/>
      <c r="K75" s="32">
        <f>2198242.16</f>
        <v>2198242.16</v>
      </c>
      <c r="L75" s="32"/>
      <c r="M75" s="33">
        <f>199965.77</f>
        <v>199965.77</v>
      </c>
      <c r="N75" s="34" t="s">
        <v>209</v>
      </c>
      <c r="O75" s="35" t="s">
        <v>210</v>
      </c>
      <c r="P75" s="31">
        <f>1598276.39</f>
        <v>1598276.39</v>
      </c>
      <c r="Q75" s="31"/>
      <c r="R75" s="36">
        <f>1998276.39</f>
        <v>1998276.39</v>
      </c>
      <c r="S75" s="36"/>
    </row>
    <row r="76" spans="1:19" s="1" customFormat="1" ht="33.75" customHeight="1">
      <c r="A76" s="29" t="s">
        <v>212</v>
      </c>
      <c r="B76" s="29"/>
      <c r="C76" s="29"/>
      <c r="D76" s="29"/>
      <c r="E76" s="29"/>
      <c r="F76" s="30" t="s">
        <v>213</v>
      </c>
      <c r="G76" s="30"/>
      <c r="H76" s="30"/>
      <c r="I76" s="31">
        <f>6850000</f>
        <v>6850000</v>
      </c>
      <c r="J76" s="31"/>
      <c r="K76" s="32">
        <f>10800000</f>
        <v>10800000</v>
      </c>
      <c r="L76" s="32"/>
      <c r="M76" s="33">
        <f>6343747.42</f>
        <v>6343747.42</v>
      </c>
      <c r="N76" s="34" t="s">
        <v>214</v>
      </c>
      <c r="O76" s="35" t="s">
        <v>215</v>
      </c>
      <c r="P76" s="31">
        <f>506252.58</f>
        <v>506252.58</v>
      </c>
      <c r="Q76" s="31"/>
      <c r="R76" s="36">
        <f>4456252.58</f>
        <v>4456252.58</v>
      </c>
      <c r="S76" s="36"/>
    </row>
    <row r="77" spans="1:19" s="1" customFormat="1" ht="24" customHeight="1">
      <c r="A77" s="29" t="s">
        <v>216</v>
      </c>
      <c r="B77" s="29"/>
      <c r="C77" s="29"/>
      <c r="D77" s="29"/>
      <c r="E77" s="29"/>
      <c r="F77" s="30" t="s">
        <v>117</v>
      </c>
      <c r="G77" s="30"/>
      <c r="H77" s="30"/>
      <c r="I77" s="31">
        <f>6850000</f>
        <v>6850000</v>
      </c>
      <c r="J77" s="31"/>
      <c r="K77" s="32">
        <f>10800000</f>
        <v>10800000</v>
      </c>
      <c r="L77" s="32"/>
      <c r="M77" s="33">
        <f>6343747.42</f>
        <v>6343747.42</v>
      </c>
      <c r="N77" s="34" t="s">
        <v>214</v>
      </c>
      <c r="O77" s="35" t="s">
        <v>215</v>
      </c>
      <c r="P77" s="31">
        <f>506252.58</f>
        <v>506252.58</v>
      </c>
      <c r="Q77" s="31"/>
      <c r="R77" s="36">
        <f>4456252.58</f>
        <v>4456252.58</v>
      </c>
      <c r="S77" s="36"/>
    </row>
    <row r="78" spans="1:19" s="1" customFormat="1" ht="33.75" customHeight="1">
      <c r="A78" s="29" t="s">
        <v>217</v>
      </c>
      <c r="B78" s="29"/>
      <c r="C78" s="29"/>
      <c r="D78" s="29"/>
      <c r="E78" s="29"/>
      <c r="F78" s="30" t="s">
        <v>218</v>
      </c>
      <c r="G78" s="30"/>
      <c r="H78" s="30"/>
      <c r="I78" s="31">
        <f>450000</f>
        <v>450000</v>
      </c>
      <c r="J78" s="31"/>
      <c r="K78" s="32">
        <f>900000</f>
        <v>900000</v>
      </c>
      <c r="L78" s="32"/>
      <c r="M78" s="34" t="s">
        <v>1</v>
      </c>
      <c r="N78" s="34" t="s">
        <v>103</v>
      </c>
      <c r="O78" s="35" t="s">
        <v>103</v>
      </c>
      <c r="P78" s="31">
        <f>450000</f>
        <v>450000</v>
      </c>
      <c r="Q78" s="31"/>
      <c r="R78" s="36">
        <f>900000</f>
        <v>900000</v>
      </c>
      <c r="S78" s="36"/>
    </row>
    <row r="79" spans="1:19" s="1" customFormat="1" ht="24" customHeight="1">
      <c r="A79" s="29" t="s">
        <v>219</v>
      </c>
      <c r="B79" s="29"/>
      <c r="C79" s="29"/>
      <c r="D79" s="29"/>
      <c r="E79" s="29"/>
      <c r="F79" s="30" t="s">
        <v>117</v>
      </c>
      <c r="G79" s="30"/>
      <c r="H79" s="30"/>
      <c r="I79" s="31">
        <f>450000</f>
        <v>450000</v>
      </c>
      <c r="J79" s="31"/>
      <c r="K79" s="32">
        <f>900000</f>
        <v>900000</v>
      </c>
      <c r="L79" s="32"/>
      <c r="M79" s="34" t="s">
        <v>1</v>
      </c>
      <c r="N79" s="34" t="s">
        <v>103</v>
      </c>
      <c r="O79" s="35" t="s">
        <v>103</v>
      </c>
      <c r="P79" s="31">
        <f>450000</f>
        <v>450000</v>
      </c>
      <c r="Q79" s="31"/>
      <c r="R79" s="36">
        <f>900000</f>
        <v>900000</v>
      </c>
      <c r="S79" s="36"/>
    </row>
    <row r="80" spans="1:19" s="1" customFormat="1" ht="13.5" customHeight="1">
      <c r="A80" s="29" t="s">
        <v>220</v>
      </c>
      <c r="B80" s="29"/>
      <c r="C80" s="29"/>
      <c r="D80" s="29"/>
      <c r="E80" s="29"/>
      <c r="F80" s="30" t="s">
        <v>221</v>
      </c>
      <c r="G80" s="30"/>
      <c r="H80" s="30"/>
      <c r="I80" s="31">
        <f>1067258.72</f>
        <v>1067258.72</v>
      </c>
      <c r="J80" s="31"/>
      <c r="K80" s="32">
        <f>2238958.72</f>
        <v>2238958.72</v>
      </c>
      <c r="L80" s="32"/>
      <c r="M80" s="33">
        <f>897764.12</f>
        <v>897764.12</v>
      </c>
      <c r="N80" s="34" t="s">
        <v>222</v>
      </c>
      <c r="O80" s="35" t="s">
        <v>223</v>
      </c>
      <c r="P80" s="31">
        <f>169494.6</f>
        <v>169494.6</v>
      </c>
      <c r="Q80" s="31"/>
      <c r="R80" s="36">
        <f>1341194.6</f>
        <v>1341194.6</v>
      </c>
      <c r="S80" s="36"/>
    </row>
    <row r="81" spans="1:19" s="1" customFormat="1" ht="13.5" customHeight="1">
      <c r="A81" s="29" t="s">
        <v>224</v>
      </c>
      <c r="B81" s="29"/>
      <c r="C81" s="29"/>
      <c r="D81" s="29"/>
      <c r="E81" s="29"/>
      <c r="F81" s="30" t="s">
        <v>225</v>
      </c>
      <c r="G81" s="30"/>
      <c r="H81" s="30"/>
      <c r="I81" s="31">
        <f>1067258.72</f>
        <v>1067258.72</v>
      </c>
      <c r="J81" s="31"/>
      <c r="K81" s="32">
        <f>2238958.72</f>
        <v>2238958.72</v>
      </c>
      <c r="L81" s="32"/>
      <c r="M81" s="33">
        <f>897764.12</f>
        <v>897764.12</v>
      </c>
      <c r="N81" s="34" t="s">
        <v>222</v>
      </c>
      <c r="O81" s="35" t="s">
        <v>223</v>
      </c>
      <c r="P81" s="31">
        <f>169494.6</f>
        <v>169494.6</v>
      </c>
      <c r="Q81" s="31"/>
      <c r="R81" s="36">
        <f>1341194.6</f>
        <v>1341194.6</v>
      </c>
      <c r="S81" s="36"/>
    </row>
    <row r="82" spans="1:19" s="1" customFormat="1" ht="24" customHeight="1">
      <c r="A82" s="29" t="s">
        <v>226</v>
      </c>
      <c r="B82" s="29"/>
      <c r="C82" s="29"/>
      <c r="D82" s="29"/>
      <c r="E82" s="29"/>
      <c r="F82" s="30" t="s">
        <v>117</v>
      </c>
      <c r="G82" s="30"/>
      <c r="H82" s="30"/>
      <c r="I82" s="31">
        <f>1067258.72</f>
        <v>1067258.72</v>
      </c>
      <c r="J82" s="31"/>
      <c r="K82" s="32">
        <f>2238958.72</f>
        <v>2238958.72</v>
      </c>
      <c r="L82" s="32"/>
      <c r="M82" s="33">
        <f>897764.12</f>
        <v>897764.12</v>
      </c>
      <c r="N82" s="34" t="s">
        <v>222</v>
      </c>
      <c r="O82" s="35" t="s">
        <v>223</v>
      </c>
      <c r="P82" s="31">
        <f>169494.6</f>
        <v>169494.6</v>
      </c>
      <c r="Q82" s="31"/>
      <c r="R82" s="36">
        <f>1341194.6</f>
        <v>1341194.6</v>
      </c>
      <c r="S82" s="36"/>
    </row>
    <row r="83" spans="1:19" s="1" customFormat="1" ht="24" customHeight="1">
      <c r="A83" s="29" t="s">
        <v>227</v>
      </c>
      <c r="B83" s="29"/>
      <c r="C83" s="29"/>
      <c r="D83" s="29"/>
      <c r="E83" s="29"/>
      <c r="F83" s="30" t="s">
        <v>228</v>
      </c>
      <c r="G83" s="30"/>
      <c r="H83" s="30"/>
      <c r="I83" s="31">
        <f>1540721.5</f>
        <v>1540721.5</v>
      </c>
      <c r="J83" s="31"/>
      <c r="K83" s="32">
        <f>3104716.5</f>
        <v>3104716.5</v>
      </c>
      <c r="L83" s="32"/>
      <c r="M83" s="33">
        <f>77700.55</f>
        <v>77700.55</v>
      </c>
      <c r="N83" s="34" t="s">
        <v>229</v>
      </c>
      <c r="O83" s="35" t="s">
        <v>230</v>
      </c>
      <c r="P83" s="31">
        <f>1463020.95</f>
        <v>1463020.95</v>
      </c>
      <c r="Q83" s="31"/>
      <c r="R83" s="36">
        <f>3027015.95</f>
        <v>3027015.95</v>
      </c>
      <c r="S83" s="36"/>
    </row>
    <row r="84" spans="1:19" s="1" customFormat="1" ht="13.5" customHeight="1">
      <c r="A84" s="29" t="s">
        <v>231</v>
      </c>
      <c r="B84" s="29"/>
      <c r="C84" s="29"/>
      <c r="D84" s="29"/>
      <c r="E84" s="29"/>
      <c r="F84" s="30" t="s">
        <v>113</v>
      </c>
      <c r="G84" s="30"/>
      <c r="H84" s="30"/>
      <c r="I84" s="37" t="s">
        <v>1</v>
      </c>
      <c r="J84" s="37"/>
      <c r="K84" s="32">
        <f>1000</f>
        <v>1000</v>
      </c>
      <c r="L84" s="32"/>
      <c r="M84" s="34" t="s">
        <v>1</v>
      </c>
      <c r="N84" s="34" t="s">
        <v>103</v>
      </c>
      <c r="O84" s="35" t="s">
        <v>103</v>
      </c>
      <c r="P84" s="37" t="s">
        <v>1</v>
      </c>
      <c r="Q84" s="37"/>
      <c r="R84" s="36">
        <f>1000</f>
        <v>1000</v>
      </c>
      <c r="S84" s="36"/>
    </row>
    <row r="85" spans="1:19" s="1" customFormat="1" ht="24" customHeight="1">
      <c r="A85" s="29" t="s">
        <v>232</v>
      </c>
      <c r="B85" s="29"/>
      <c r="C85" s="29"/>
      <c r="D85" s="29"/>
      <c r="E85" s="29"/>
      <c r="F85" s="30" t="s">
        <v>117</v>
      </c>
      <c r="G85" s="30"/>
      <c r="H85" s="30"/>
      <c r="I85" s="37" t="s">
        <v>1</v>
      </c>
      <c r="J85" s="37"/>
      <c r="K85" s="32">
        <f>1000</f>
        <v>1000</v>
      </c>
      <c r="L85" s="32"/>
      <c r="M85" s="34" t="s">
        <v>1</v>
      </c>
      <c r="N85" s="34" t="s">
        <v>103</v>
      </c>
      <c r="O85" s="35" t="s">
        <v>103</v>
      </c>
      <c r="P85" s="37" t="s">
        <v>1</v>
      </c>
      <c r="Q85" s="37"/>
      <c r="R85" s="36">
        <f>1000</f>
        <v>1000</v>
      </c>
      <c r="S85" s="36"/>
    </row>
    <row r="86" spans="1:19" s="1" customFormat="1" ht="13.5" customHeight="1">
      <c r="A86" s="29" t="s">
        <v>233</v>
      </c>
      <c r="B86" s="29"/>
      <c r="C86" s="29"/>
      <c r="D86" s="29"/>
      <c r="E86" s="29"/>
      <c r="F86" s="30" t="s">
        <v>113</v>
      </c>
      <c r="G86" s="30"/>
      <c r="H86" s="30"/>
      <c r="I86" s="31">
        <f>50000</f>
        <v>50000</v>
      </c>
      <c r="J86" s="31"/>
      <c r="K86" s="32">
        <f>115000</f>
        <v>115000</v>
      </c>
      <c r="L86" s="32"/>
      <c r="M86" s="34" t="s">
        <v>1</v>
      </c>
      <c r="N86" s="34" t="s">
        <v>103</v>
      </c>
      <c r="O86" s="35" t="s">
        <v>103</v>
      </c>
      <c r="P86" s="31">
        <f>50000</f>
        <v>50000</v>
      </c>
      <c r="Q86" s="31"/>
      <c r="R86" s="36">
        <f>115000</f>
        <v>115000</v>
      </c>
      <c r="S86" s="36"/>
    </row>
    <row r="87" spans="1:19" s="1" customFormat="1" ht="24" customHeight="1">
      <c r="A87" s="29" t="s">
        <v>234</v>
      </c>
      <c r="B87" s="29"/>
      <c r="C87" s="29"/>
      <c r="D87" s="29"/>
      <c r="E87" s="29"/>
      <c r="F87" s="30" t="s">
        <v>117</v>
      </c>
      <c r="G87" s="30"/>
      <c r="H87" s="30"/>
      <c r="I87" s="31">
        <f>50000</f>
        <v>50000</v>
      </c>
      <c r="J87" s="31"/>
      <c r="K87" s="32">
        <f>100000</f>
        <v>100000</v>
      </c>
      <c r="L87" s="32"/>
      <c r="M87" s="34" t="s">
        <v>1</v>
      </c>
      <c r="N87" s="34" t="s">
        <v>103</v>
      </c>
      <c r="O87" s="35" t="s">
        <v>103</v>
      </c>
      <c r="P87" s="31">
        <f>50000</f>
        <v>50000</v>
      </c>
      <c r="Q87" s="31"/>
      <c r="R87" s="36">
        <f>100000</f>
        <v>100000</v>
      </c>
      <c r="S87" s="36"/>
    </row>
    <row r="88" spans="1:19" s="1" customFormat="1" ht="45" customHeight="1">
      <c r="A88" s="29" t="s">
        <v>235</v>
      </c>
      <c r="B88" s="29"/>
      <c r="C88" s="29"/>
      <c r="D88" s="29"/>
      <c r="E88" s="29"/>
      <c r="F88" s="30" t="s">
        <v>236</v>
      </c>
      <c r="G88" s="30"/>
      <c r="H88" s="30"/>
      <c r="I88" s="37" t="s">
        <v>1</v>
      </c>
      <c r="J88" s="37"/>
      <c r="K88" s="32">
        <f>15000</f>
        <v>15000</v>
      </c>
      <c r="L88" s="32"/>
      <c r="M88" s="34" t="s">
        <v>1</v>
      </c>
      <c r="N88" s="34" t="s">
        <v>103</v>
      </c>
      <c r="O88" s="35" t="s">
        <v>103</v>
      </c>
      <c r="P88" s="37" t="s">
        <v>1</v>
      </c>
      <c r="Q88" s="37"/>
      <c r="R88" s="36">
        <f>15000</f>
        <v>15000</v>
      </c>
      <c r="S88" s="36"/>
    </row>
    <row r="89" spans="1:19" s="1" customFormat="1" ht="66" customHeight="1">
      <c r="A89" s="29" t="s">
        <v>237</v>
      </c>
      <c r="B89" s="29"/>
      <c r="C89" s="29"/>
      <c r="D89" s="29"/>
      <c r="E89" s="29"/>
      <c r="F89" s="30" t="s">
        <v>98</v>
      </c>
      <c r="G89" s="30"/>
      <c r="H89" s="30"/>
      <c r="I89" s="31">
        <f>1277396.94</f>
        <v>1277396.94</v>
      </c>
      <c r="J89" s="31"/>
      <c r="K89" s="32">
        <f>2554793.89</f>
        <v>2554793.89</v>
      </c>
      <c r="L89" s="32"/>
      <c r="M89" s="33">
        <f>77700.55</f>
        <v>77700.55</v>
      </c>
      <c r="N89" s="34" t="s">
        <v>238</v>
      </c>
      <c r="O89" s="35" t="s">
        <v>239</v>
      </c>
      <c r="P89" s="31">
        <f>1199696.39</f>
        <v>1199696.39</v>
      </c>
      <c r="Q89" s="31"/>
      <c r="R89" s="36">
        <f>2477093.34</f>
        <v>2477093.34</v>
      </c>
      <c r="S89" s="36"/>
    </row>
    <row r="90" spans="1:19" s="1" customFormat="1" ht="13.5" customHeight="1">
      <c r="A90" s="29" t="s">
        <v>240</v>
      </c>
      <c r="B90" s="29"/>
      <c r="C90" s="29"/>
      <c r="D90" s="29"/>
      <c r="E90" s="29"/>
      <c r="F90" s="30" t="s">
        <v>100</v>
      </c>
      <c r="G90" s="30"/>
      <c r="H90" s="30"/>
      <c r="I90" s="31">
        <f>1277396.94</f>
        <v>1277396.94</v>
      </c>
      <c r="J90" s="31"/>
      <c r="K90" s="32">
        <f>2554793.89</f>
        <v>2554793.89</v>
      </c>
      <c r="L90" s="32"/>
      <c r="M90" s="33">
        <f>77700.55</f>
        <v>77700.55</v>
      </c>
      <c r="N90" s="34" t="s">
        <v>238</v>
      </c>
      <c r="O90" s="35" t="s">
        <v>239</v>
      </c>
      <c r="P90" s="31">
        <f>1199696.39</f>
        <v>1199696.39</v>
      </c>
      <c r="Q90" s="31"/>
      <c r="R90" s="36">
        <f>2477093.34</f>
        <v>2477093.34</v>
      </c>
      <c r="S90" s="36"/>
    </row>
    <row r="91" spans="1:19" s="1" customFormat="1" ht="13.5" customHeight="1">
      <c r="A91" s="29" t="s">
        <v>241</v>
      </c>
      <c r="B91" s="29"/>
      <c r="C91" s="29"/>
      <c r="D91" s="29"/>
      <c r="E91" s="29"/>
      <c r="F91" s="30" t="s">
        <v>113</v>
      </c>
      <c r="G91" s="30"/>
      <c r="H91" s="30"/>
      <c r="I91" s="31">
        <f>213324.56</f>
        <v>213324.56</v>
      </c>
      <c r="J91" s="31"/>
      <c r="K91" s="32">
        <f>433922.61</f>
        <v>433922.61</v>
      </c>
      <c r="L91" s="32"/>
      <c r="M91" s="34" t="s">
        <v>1</v>
      </c>
      <c r="N91" s="34" t="s">
        <v>103</v>
      </c>
      <c r="O91" s="35" t="s">
        <v>103</v>
      </c>
      <c r="P91" s="31">
        <f>213324.56</f>
        <v>213324.56</v>
      </c>
      <c r="Q91" s="31"/>
      <c r="R91" s="36">
        <f>433922.61</f>
        <v>433922.61</v>
      </c>
      <c r="S91" s="36"/>
    </row>
    <row r="92" spans="1:19" s="1" customFormat="1" ht="33.75" customHeight="1">
      <c r="A92" s="29" t="s">
        <v>242</v>
      </c>
      <c r="B92" s="29"/>
      <c r="C92" s="29"/>
      <c r="D92" s="29"/>
      <c r="E92" s="29"/>
      <c r="F92" s="30" t="s">
        <v>243</v>
      </c>
      <c r="G92" s="30"/>
      <c r="H92" s="30"/>
      <c r="I92" s="31">
        <f>213324.56</f>
        <v>213324.56</v>
      </c>
      <c r="J92" s="31"/>
      <c r="K92" s="32">
        <f>433922.61</f>
        <v>433922.61</v>
      </c>
      <c r="L92" s="32"/>
      <c r="M92" s="34" t="s">
        <v>1</v>
      </c>
      <c r="N92" s="34" t="s">
        <v>103</v>
      </c>
      <c r="O92" s="35" t="s">
        <v>103</v>
      </c>
      <c r="P92" s="31">
        <f>213324.56</f>
        <v>213324.56</v>
      </c>
      <c r="Q92" s="31"/>
      <c r="R92" s="36">
        <f>433922.61</f>
        <v>433922.61</v>
      </c>
      <c r="S92" s="36"/>
    </row>
    <row r="93" spans="1:19" s="1" customFormat="1" ht="13.5" customHeight="1">
      <c r="A93" s="29" t="s">
        <v>244</v>
      </c>
      <c r="B93" s="29"/>
      <c r="C93" s="29"/>
      <c r="D93" s="29"/>
      <c r="E93" s="29"/>
      <c r="F93" s="30" t="s">
        <v>245</v>
      </c>
      <c r="G93" s="30"/>
      <c r="H93" s="30"/>
      <c r="I93" s="31">
        <f>2354000</f>
        <v>2354000</v>
      </c>
      <c r="J93" s="31"/>
      <c r="K93" s="32">
        <f>4211393.24</f>
        <v>4211393.24</v>
      </c>
      <c r="L93" s="32"/>
      <c r="M93" s="33">
        <f>509117.67</f>
        <v>509117.67</v>
      </c>
      <c r="N93" s="34" t="s">
        <v>246</v>
      </c>
      <c r="O93" s="35" t="s">
        <v>247</v>
      </c>
      <c r="P93" s="31">
        <f>1844882.33</f>
        <v>1844882.33</v>
      </c>
      <c r="Q93" s="31"/>
      <c r="R93" s="36">
        <f>3702275.57</f>
        <v>3702275.57</v>
      </c>
      <c r="S93" s="36"/>
    </row>
    <row r="94" spans="1:19" s="1" customFormat="1" ht="13.5" customHeight="1">
      <c r="A94" s="29" t="s">
        <v>248</v>
      </c>
      <c r="B94" s="29"/>
      <c r="C94" s="29"/>
      <c r="D94" s="29"/>
      <c r="E94" s="29"/>
      <c r="F94" s="30" t="s">
        <v>113</v>
      </c>
      <c r="G94" s="30"/>
      <c r="H94" s="30"/>
      <c r="I94" s="37" t="s">
        <v>1</v>
      </c>
      <c r="J94" s="37"/>
      <c r="K94" s="32">
        <f>1000000</f>
        <v>1000000</v>
      </c>
      <c r="L94" s="32"/>
      <c r="M94" s="34" t="s">
        <v>1</v>
      </c>
      <c r="N94" s="34" t="s">
        <v>103</v>
      </c>
      <c r="O94" s="35" t="s">
        <v>103</v>
      </c>
      <c r="P94" s="37" t="s">
        <v>1</v>
      </c>
      <c r="Q94" s="37"/>
      <c r="R94" s="36">
        <f>1000000</f>
        <v>1000000</v>
      </c>
      <c r="S94" s="36"/>
    </row>
    <row r="95" spans="1:19" s="1" customFormat="1" ht="24" customHeight="1">
      <c r="A95" s="29" t="s">
        <v>249</v>
      </c>
      <c r="B95" s="29"/>
      <c r="C95" s="29"/>
      <c r="D95" s="29"/>
      <c r="E95" s="29"/>
      <c r="F95" s="30" t="s">
        <v>117</v>
      </c>
      <c r="G95" s="30"/>
      <c r="H95" s="30"/>
      <c r="I95" s="37" t="s">
        <v>1</v>
      </c>
      <c r="J95" s="37"/>
      <c r="K95" s="32">
        <f>1000000</f>
        <v>1000000</v>
      </c>
      <c r="L95" s="32"/>
      <c r="M95" s="34" t="s">
        <v>1</v>
      </c>
      <c r="N95" s="34" t="s">
        <v>103</v>
      </c>
      <c r="O95" s="35" t="s">
        <v>103</v>
      </c>
      <c r="P95" s="37" t="s">
        <v>1</v>
      </c>
      <c r="Q95" s="37"/>
      <c r="R95" s="36">
        <f>1000000</f>
        <v>1000000</v>
      </c>
      <c r="S95" s="36"/>
    </row>
    <row r="96" spans="1:19" s="1" customFormat="1" ht="66" customHeight="1">
      <c r="A96" s="29" t="s">
        <v>250</v>
      </c>
      <c r="B96" s="29"/>
      <c r="C96" s="29"/>
      <c r="D96" s="29"/>
      <c r="E96" s="29"/>
      <c r="F96" s="30" t="s">
        <v>251</v>
      </c>
      <c r="G96" s="30"/>
      <c r="H96" s="30"/>
      <c r="I96" s="37" t="s">
        <v>1</v>
      </c>
      <c r="J96" s="37"/>
      <c r="K96" s="32">
        <f>324309.23</f>
        <v>324309.23</v>
      </c>
      <c r="L96" s="32"/>
      <c r="M96" s="34" t="s">
        <v>1</v>
      </c>
      <c r="N96" s="34" t="s">
        <v>103</v>
      </c>
      <c r="O96" s="35" t="s">
        <v>103</v>
      </c>
      <c r="P96" s="37" t="s">
        <v>1</v>
      </c>
      <c r="Q96" s="37"/>
      <c r="R96" s="36">
        <f>324309.23</f>
        <v>324309.23</v>
      </c>
      <c r="S96" s="36"/>
    </row>
    <row r="97" spans="1:19" s="1" customFormat="1" ht="24" customHeight="1">
      <c r="A97" s="29" t="s">
        <v>252</v>
      </c>
      <c r="B97" s="29"/>
      <c r="C97" s="29"/>
      <c r="D97" s="29"/>
      <c r="E97" s="29"/>
      <c r="F97" s="30" t="s">
        <v>117</v>
      </c>
      <c r="G97" s="30"/>
      <c r="H97" s="30"/>
      <c r="I97" s="37" t="s">
        <v>1</v>
      </c>
      <c r="J97" s="37"/>
      <c r="K97" s="32">
        <f>324309.23</f>
        <v>324309.23</v>
      </c>
      <c r="L97" s="32"/>
      <c r="M97" s="34" t="s">
        <v>1</v>
      </c>
      <c r="N97" s="34" t="s">
        <v>103</v>
      </c>
      <c r="O97" s="35" t="s">
        <v>103</v>
      </c>
      <c r="P97" s="37" t="s">
        <v>1</v>
      </c>
      <c r="Q97" s="37"/>
      <c r="R97" s="36">
        <f>324309.23</f>
        <v>324309.23</v>
      </c>
      <c r="S97" s="36"/>
    </row>
    <row r="98" spans="1:19" s="1" customFormat="1" ht="66" customHeight="1">
      <c r="A98" s="29" t="s">
        <v>253</v>
      </c>
      <c r="B98" s="29"/>
      <c r="C98" s="29"/>
      <c r="D98" s="29"/>
      <c r="E98" s="29"/>
      <c r="F98" s="30" t="s">
        <v>254</v>
      </c>
      <c r="G98" s="30"/>
      <c r="H98" s="30"/>
      <c r="I98" s="37" t="s">
        <v>1</v>
      </c>
      <c r="J98" s="37"/>
      <c r="K98" s="32">
        <f>40084.01</f>
        <v>40084.01</v>
      </c>
      <c r="L98" s="32"/>
      <c r="M98" s="34" t="s">
        <v>1</v>
      </c>
      <c r="N98" s="34" t="s">
        <v>103</v>
      </c>
      <c r="O98" s="35" t="s">
        <v>103</v>
      </c>
      <c r="P98" s="37" t="s">
        <v>1</v>
      </c>
      <c r="Q98" s="37"/>
      <c r="R98" s="36">
        <f>40084.01</f>
        <v>40084.01</v>
      </c>
      <c r="S98" s="36"/>
    </row>
    <row r="99" spans="1:19" s="1" customFormat="1" ht="24" customHeight="1">
      <c r="A99" s="29" t="s">
        <v>255</v>
      </c>
      <c r="B99" s="29"/>
      <c r="C99" s="29"/>
      <c r="D99" s="29"/>
      <c r="E99" s="29"/>
      <c r="F99" s="30" t="s">
        <v>117</v>
      </c>
      <c r="G99" s="30"/>
      <c r="H99" s="30"/>
      <c r="I99" s="37" t="s">
        <v>1</v>
      </c>
      <c r="J99" s="37"/>
      <c r="K99" s="32">
        <f>40084.01</f>
        <v>40084.01</v>
      </c>
      <c r="L99" s="32"/>
      <c r="M99" s="34" t="s">
        <v>1</v>
      </c>
      <c r="N99" s="34" t="s">
        <v>103</v>
      </c>
      <c r="O99" s="35" t="s">
        <v>103</v>
      </c>
      <c r="P99" s="37" t="s">
        <v>1</v>
      </c>
      <c r="Q99" s="37"/>
      <c r="R99" s="36">
        <f>40084.01</f>
        <v>40084.01</v>
      </c>
      <c r="S99" s="36"/>
    </row>
    <row r="100" spans="1:19" s="1" customFormat="1" ht="33.75" customHeight="1">
      <c r="A100" s="29" t="s">
        <v>256</v>
      </c>
      <c r="B100" s="29"/>
      <c r="C100" s="29"/>
      <c r="D100" s="29"/>
      <c r="E100" s="29"/>
      <c r="F100" s="30" t="s">
        <v>257</v>
      </c>
      <c r="G100" s="30"/>
      <c r="H100" s="30"/>
      <c r="I100" s="31">
        <f>1501430</f>
        <v>1501430</v>
      </c>
      <c r="J100" s="31"/>
      <c r="K100" s="32">
        <f>1501430</f>
        <v>1501430</v>
      </c>
      <c r="L100" s="32"/>
      <c r="M100" s="34" t="s">
        <v>1</v>
      </c>
      <c r="N100" s="34" t="s">
        <v>103</v>
      </c>
      <c r="O100" s="35" t="s">
        <v>103</v>
      </c>
      <c r="P100" s="31">
        <f>1501430</f>
        <v>1501430</v>
      </c>
      <c r="Q100" s="31"/>
      <c r="R100" s="36">
        <f>1501430</f>
        <v>1501430</v>
      </c>
      <c r="S100" s="36"/>
    </row>
    <row r="101" spans="1:19" s="1" customFormat="1" ht="33.75" customHeight="1">
      <c r="A101" s="29" t="s">
        <v>258</v>
      </c>
      <c r="B101" s="29"/>
      <c r="C101" s="29"/>
      <c r="D101" s="29"/>
      <c r="E101" s="29"/>
      <c r="F101" s="30" t="s">
        <v>259</v>
      </c>
      <c r="G101" s="30"/>
      <c r="H101" s="30"/>
      <c r="I101" s="31">
        <f>1501430</f>
        <v>1501430</v>
      </c>
      <c r="J101" s="31"/>
      <c r="K101" s="32">
        <f>1501430</f>
        <v>1501430</v>
      </c>
      <c r="L101" s="32"/>
      <c r="M101" s="34" t="s">
        <v>1</v>
      </c>
      <c r="N101" s="34" t="s">
        <v>103</v>
      </c>
      <c r="O101" s="35" t="s">
        <v>103</v>
      </c>
      <c r="P101" s="31">
        <f>1501430</f>
        <v>1501430</v>
      </c>
      <c r="Q101" s="31"/>
      <c r="R101" s="36">
        <f>1501430</f>
        <v>1501430</v>
      </c>
      <c r="S101" s="36"/>
    </row>
    <row r="102" spans="1:19" s="1" customFormat="1" ht="33.75" customHeight="1">
      <c r="A102" s="29" t="s">
        <v>260</v>
      </c>
      <c r="B102" s="29"/>
      <c r="C102" s="29"/>
      <c r="D102" s="29"/>
      <c r="E102" s="29"/>
      <c r="F102" s="30" t="s">
        <v>261</v>
      </c>
      <c r="G102" s="30"/>
      <c r="H102" s="30"/>
      <c r="I102" s="31">
        <f>185570</f>
        <v>185570</v>
      </c>
      <c r="J102" s="31"/>
      <c r="K102" s="32">
        <f>185570</f>
        <v>185570</v>
      </c>
      <c r="L102" s="32"/>
      <c r="M102" s="33">
        <f>9278.5</f>
        <v>9278.5</v>
      </c>
      <c r="N102" s="34" t="s">
        <v>262</v>
      </c>
      <c r="O102" s="35" t="s">
        <v>262</v>
      </c>
      <c r="P102" s="31">
        <f>176291.5</f>
        <v>176291.5</v>
      </c>
      <c r="Q102" s="31"/>
      <c r="R102" s="36">
        <f>176291.5</f>
        <v>176291.5</v>
      </c>
      <c r="S102" s="36"/>
    </row>
    <row r="103" spans="1:19" s="1" customFormat="1" ht="33.75" customHeight="1">
      <c r="A103" s="29" t="s">
        <v>263</v>
      </c>
      <c r="B103" s="29"/>
      <c r="C103" s="29"/>
      <c r="D103" s="29"/>
      <c r="E103" s="29"/>
      <c r="F103" s="30" t="s">
        <v>259</v>
      </c>
      <c r="G103" s="30"/>
      <c r="H103" s="30"/>
      <c r="I103" s="31">
        <f>185570</f>
        <v>185570</v>
      </c>
      <c r="J103" s="31"/>
      <c r="K103" s="32">
        <f>185570</f>
        <v>185570</v>
      </c>
      <c r="L103" s="32"/>
      <c r="M103" s="33">
        <f>9278.5</f>
        <v>9278.5</v>
      </c>
      <c r="N103" s="34" t="s">
        <v>262</v>
      </c>
      <c r="O103" s="35" t="s">
        <v>262</v>
      </c>
      <c r="P103" s="31">
        <f>176291.5</f>
        <v>176291.5</v>
      </c>
      <c r="Q103" s="31"/>
      <c r="R103" s="36">
        <f>176291.5</f>
        <v>176291.5</v>
      </c>
      <c r="S103" s="36"/>
    </row>
    <row r="104" spans="1:19" s="1" customFormat="1" ht="13.5" customHeight="1">
      <c r="A104" s="29" t="s">
        <v>264</v>
      </c>
      <c r="B104" s="29"/>
      <c r="C104" s="29"/>
      <c r="D104" s="29"/>
      <c r="E104" s="29"/>
      <c r="F104" s="30" t="s">
        <v>113</v>
      </c>
      <c r="G104" s="30"/>
      <c r="H104" s="30"/>
      <c r="I104" s="31">
        <f>101000</f>
        <v>101000</v>
      </c>
      <c r="J104" s="31"/>
      <c r="K104" s="32">
        <f>255000</f>
        <v>255000</v>
      </c>
      <c r="L104" s="32"/>
      <c r="M104" s="34" t="s">
        <v>1</v>
      </c>
      <c r="N104" s="34" t="s">
        <v>103</v>
      </c>
      <c r="O104" s="35" t="s">
        <v>103</v>
      </c>
      <c r="P104" s="31">
        <f>101000</f>
        <v>101000</v>
      </c>
      <c r="Q104" s="31"/>
      <c r="R104" s="36">
        <f>255000</f>
        <v>255000</v>
      </c>
      <c r="S104" s="36"/>
    </row>
    <row r="105" spans="1:19" s="1" customFormat="1" ht="24" customHeight="1">
      <c r="A105" s="29" t="s">
        <v>265</v>
      </c>
      <c r="B105" s="29"/>
      <c r="C105" s="29"/>
      <c r="D105" s="29"/>
      <c r="E105" s="29"/>
      <c r="F105" s="30" t="s">
        <v>117</v>
      </c>
      <c r="G105" s="30"/>
      <c r="H105" s="30"/>
      <c r="I105" s="31">
        <f>101000</f>
        <v>101000</v>
      </c>
      <c r="J105" s="31"/>
      <c r="K105" s="32">
        <f>255000</f>
        <v>255000</v>
      </c>
      <c r="L105" s="32"/>
      <c r="M105" s="34" t="s">
        <v>1</v>
      </c>
      <c r="N105" s="34" t="s">
        <v>103</v>
      </c>
      <c r="O105" s="35" t="s">
        <v>103</v>
      </c>
      <c r="P105" s="31">
        <f>101000</f>
        <v>101000</v>
      </c>
      <c r="Q105" s="31"/>
      <c r="R105" s="36">
        <f>255000</f>
        <v>255000</v>
      </c>
      <c r="S105" s="36"/>
    </row>
    <row r="106" spans="1:19" s="1" customFormat="1" ht="33.75" customHeight="1">
      <c r="A106" s="29" t="s">
        <v>266</v>
      </c>
      <c r="B106" s="29"/>
      <c r="C106" s="29"/>
      <c r="D106" s="29"/>
      <c r="E106" s="29"/>
      <c r="F106" s="30" t="s">
        <v>141</v>
      </c>
      <c r="G106" s="30"/>
      <c r="H106" s="30"/>
      <c r="I106" s="31">
        <f>521000</f>
        <v>521000</v>
      </c>
      <c r="J106" s="31"/>
      <c r="K106" s="32">
        <f>860000</f>
        <v>860000</v>
      </c>
      <c r="L106" s="32"/>
      <c r="M106" s="33">
        <f>454839.17</f>
        <v>454839.17</v>
      </c>
      <c r="N106" s="34" t="s">
        <v>267</v>
      </c>
      <c r="O106" s="35" t="s">
        <v>268</v>
      </c>
      <c r="P106" s="31">
        <f>66160.83</f>
        <v>66160.83</v>
      </c>
      <c r="Q106" s="31"/>
      <c r="R106" s="36">
        <f>405160.83</f>
        <v>405160.83</v>
      </c>
      <c r="S106" s="36"/>
    </row>
    <row r="107" spans="1:19" s="1" customFormat="1" ht="24" customHeight="1">
      <c r="A107" s="29" t="s">
        <v>269</v>
      </c>
      <c r="B107" s="29"/>
      <c r="C107" s="29"/>
      <c r="D107" s="29"/>
      <c r="E107" s="29"/>
      <c r="F107" s="30" t="s">
        <v>117</v>
      </c>
      <c r="G107" s="30"/>
      <c r="H107" s="30"/>
      <c r="I107" s="31">
        <f>521000</f>
        <v>521000</v>
      </c>
      <c r="J107" s="31"/>
      <c r="K107" s="32">
        <f>860000</f>
        <v>860000</v>
      </c>
      <c r="L107" s="32"/>
      <c r="M107" s="33">
        <f>454839.17</f>
        <v>454839.17</v>
      </c>
      <c r="N107" s="34" t="s">
        <v>267</v>
      </c>
      <c r="O107" s="35" t="s">
        <v>268</v>
      </c>
      <c r="P107" s="31">
        <f>66160.83</f>
        <v>66160.83</v>
      </c>
      <c r="Q107" s="31"/>
      <c r="R107" s="36">
        <f>405160.83</f>
        <v>405160.83</v>
      </c>
      <c r="S107" s="36"/>
    </row>
    <row r="108" spans="1:19" s="1" customFormat="1" ht="13.5" customHeight="1">
      <c r="A108" s="29" t="s">
        <v>270</v>
      </c>
      <c r="B108" s="29"/>
      <c r="C108" s="29"/>
      <c r="D108" s="29"/>
      <c r="E108" s="29"/>
      <c r="F108" s="30" t="s">
        <v>113</v>
      </c>
      <c r="G108" s="30"/>
      <c r="H108" s="30"/>
      <c r="I108" s="31">
        <f>45000</f>
        <v>45000</v>
      </c>
      <c r="J108" s="31"/>
      <c r="K108" s="32">
        <f>45000</f>
        <v>45000</v>
      </c>
      <c r="L108" s="32"/>
      <c r="M108" s="33">
        <f>45000</f>
        <v>45000</v>
      </c>
      <c r="N108" s="34" t="s">
        <v>96</v>
      </c>
      <c r="O108" s="35" t="s">
        <v>96</v>
      </c>
      <c r="P108" s="37" t="s">
        <v>1</v>
      </c>
      <c r="Q108" s="37"/>
      <c r="R108" s="38" t="s">
        <v>1</v>
      </c>
      <c r="S108" s="38"/>
    </row>
    <row r="109" spans="1:19" s="1" customFormat="1" ht="24" customHeight="1">
      <c r="A109" s="29" t="s">
        <v>271</v>
      </c>
      <c r="B109" s="29"/>
      <c r="C109" s="29"/>
      <c r="D109" s="29"/>
      <c r="E109" s="29"/>
      <c r="F109" s="30" t="s">
        <v>117</v>
      </c>
      <c r="G109" s="30"/>
      <c r="H109" s="30"/>
      <c r="I109" s="31">
        <f>45000</f>
        <v>45000</v>
      </c>
      <c r="J109" s="31"/>
      <c r="K109" s="32">
        <f>45000</f>
        <v>45000</v>
      </c>
      <c r="L109" s="32"/>
      <c r="M109" s="33">
        <f>45000</f>
        <v>45000</v>
      </c>
      <c r="N109" s="34" t="s">
        <v>96</v>
      </c>
      <c r="O109" s="35" t="s">
        <v>96</v>
      </c>
      <c r="P109" s="37" t="s">
        <v>1</v>
      </c>
      <c r="Q109" s="37"/>
      <c r="R109" s="38" t="s">
        <v>1</v>
      </c>
      <c r="S109" s="38"/>
    </row>
    <row r="110" spans="1:19" s="1" customFormat="1" ht="13.5" customHeight="1">
      <c r="A110" s="29" t="s">
        <v>272</v>
      </c>
      <c r="B110" s="29"/>
      <c r="C110" s="29"/>
      <c r="D110" s="29"/>
      <c r="E110" s="29"/>
      <c r="F110" s="30" t="s">
        <v>273</v>
      </c>
      <c r="G110" s="30"/>
      <c r="H110" s="30"/>
      <c r="I110" s="31">
        <f>6595850</f>
        <v>6595850</v>
      </c>
      <c r="J110" s="31"/>
      <c r="K110" s="32">
        <f>8000000</f>
        <v>8000000</v>
      </c>
      <c r="L110" s="32"/>
      <c r="M110" s="33">
        <f>3499533.84</f>
        <v>3499533.84</v>
      </c>
      <c r="N110" s="34" t="s">
        <v>274</v>
      </c>
      <c r="O110" s="35" t="s">
        <v>275</v>
      </c>
      <c r="P110" s="31">
        <f>3096316.16</f>
        <v>3096316.16</v>
      </c>
      <c r="Q110" s="31"/>
      <c r="R110" s="36">
        <f>4500466.16</f>
        <v>4500466.16</v>
      </c>
      <c r="S110" s="36"/>
    </row>
    <row r="111" spans="1:19" s="1" customFormat="1" ht="13.5" customHeight="1">
      <c r="A111" s="29" t="s">
        <v>276</v>
      </c>
      <c r="B111" s="29"/>
      <c r="C111" s="29"/>
      <c r="D111" s="29"/>
      <c r="E111" s="29"/>
      <c r="F111" s="30" t="s">
        <v>113</v>
      </c>
      <c r="G111" s="30"/>
      <c r="H111" s="30"/>
      <c r="I111" s="31">
        <f>6595850</f>
        <v>6595850</v>
      </c>
      <c r="J111" s="31"/>
      <c r="K111" s="32">
        <f>8000000</f>
        <v>8000000</v>
      </c>
      <c r="L111" s="32"/>
      <c r="M111" s="33">
        <f>3499533.84</f>
        <v>3499533.84</v>
      </c>
      <c r="N111" s="34" t="s">
        <v>274</v>
      </c>
      <c r="O111" s="35" t="s">
        <v>275</v>
      </c>
      <c r="P111" s="31">
        <f>3096316.16</f>
        <v>3096316.16</v>
      </c>
      <c r="Q111" s="31"/>
      <c r="R111" s="36">
        <f>4500466.16</f>
        <v>4500466.16</v>
      </c>
      <c r="S111" s="36"/>
    </row>
    <row r="112" spans="1:19" s="1" customFormat="1" ht="54.75" customHeight="1">
      <c r="A112" s="29" t="s">
        <v>277</v>
      </c>
      <c r="B112" s="29"/>
      <c r="C112" s="29"/>
      <c r="D112" s="29"/>
      <c r="E112" s="29"/>
      <c r="F112" s="30" t="s">
        <v>278</v>
      </c>
      <c r="G112" s="30"/>
      <c r="H112" s="30"/>
      <c r="I112" s="31">
        <f>6595850</f>
        <v>6595850</v>
      </c>
      <c r="J112" s="31"/>
      <c r="K112" s="32">
        <f>8000000</f>
        <v>8000000</v>
      </c>
      <c r="L112" s="32"/>
      <c r="M112" s="33">
        <f>3499533.84</f>
        <v>3499533.84</v>
      </c>
      <c r="N112" s="34" t="s">
        <v>274</v>
      </c>
      <c r="O112" s="35" t="s">
        <v>275</v>
      </c>
      <c r="P112" s="31">
        <f>3096316.16</f>
        <v>3096316.16</v>
      </c>
      <c r="Q112" s="31"/>
      <c r="R112" s="36">
        <f>4500466.16</f>
        <v>4500466.16</v>
      </c>
      <c r="S112" s="36"/>
    </row>
    <row r="113" spans="1:19" s="1" customFormat="1" ht="13.5" customHeight="1">
      <c r="A113" s="29" t="s">
        <v>279</v>
      </c>
      <c r="B113" s="29"/>
      <c r="C113" s="29"/>
      <c r="D113" s="29"/>
      <c r="E113" s="29"/>
      <c r="F113" s="30" t="s">
        <v>280</v>
      </c>
      <c r="G113" s="30"/>
      <c r="H113" s="30"/>
      <c r="I113" s="31">
        <f>8661212.57</f>
        <v>8661212.57</v>
      </c>
      <c r="J113" s="31"/>
      <c r="K113" s="32">
        <f>17381773.9</f>
        <v>17381773.9</v>
      </c>
      <c r="L113" s="32"/>
      <c r="M113" s="33">
        <f>5806603.48</f>
        <v>5806603.48</v>
      </c>
      <c r="N113" s="34" t="s">
        <v>281</v>
      </c>
      <c r="O113" s="35" t="s">
        <v>282</v>
      </c>
      <c r="P113" s="31">
        <f>2854609.09</f>
        <v>2854609.09</v>
      </c>
      <c r="Q113" s="31"/>
      <c r="R113" s="36">
        <f>11575170.42</f>
        <v>11575170.42</v>
      </c>
      <c r="S113" s="36"/>
    </row>
    <row r="114" spans="1:19" s="1" customFormat="1" ht="33.75" customHeight="1">
      <c r="A114" s="29" t="s">
        <v>283</v>
      </c>
      <c r="B114" s="29"/>
      <c r="C114" s="29"/>
      <c r="D114" s="29"/>
      <c r="E114" s="29"/>
      <c r="F114" s="30" t="s">
        <v>284</v>
      </c>
      <c r="G114" s="30"/>
      <c r="H114" s="30"/>
      <c r="I114" s="31">
        <f>3117050</f>
        <v>3117050</v>
      </c>
      <c r="J114" s="31"/>
      <c r="K114" s="32">
        <f>3555500</f>
        <v>3555500</v>
      </c>
      <c r="L114" s="32"/>
      <c r="M114" s="33">
        <f>1532490.46</f>
        <v>1532490.46</v>
      </c>
      <c r="N114" s="34" t="s">
        <v>285</v>
      </c>
      <c r="O114" s="35" t="s">
        <v>286</v>
      </c>
      <c r="P114" s="31">
        <f>1584559.54</f>
        <v>1584559.54</v>
      </c>
      <c r="Q114" s="31"/>
      <c r="R114" s="36">
        <f>2023009.54</f>
        <v>2023009.54</v>
      </c>
      <c r="S114" s="36"/>
    </row>
    <row r="115" spans="1:19" s="1" customFormat="1" ht="24" customHeight="1">
      <c r="A115" s="29" t="s">
        <v>287</v>
      </c>
      <c r="B115" s="29"/>
      <c r="C115" s="29"/>
      <c r="D115" s="29"/>
      <c r="E115" s="29"/>
      <c r="F115" s="30" t="s">
        <v>117</v>
      </c>
      <c r="G115" s="30"/>
      <c r="H115" s="30"/>
      <c r="I115" s="31">
        <f>3117050</f>
        <v>3117050</v>
      </c>
      <c r="J115" s="31"/>
      <c r="K115" s="32">
        <f>3555500</f>
        <v>3555500</v>
      </c>
      <c r="L115" s="32"/>
      <c r="M115" s="33">
        <f>1532490.46</f>
        <v>1532490.46</v>
      </c>
      <c r="N115" s="34" t="s">
        <v>285</v>
      </c>
      <c r="O115" s="35" t="s">
        <v>286</v>
      </c>
      <c r="P115" s="31">
        <f>1584559.54</f>
        <v>1584559.54</v>
      </c>
      <c r="Q115" s="31"/>
      <c r="R115" s="36">
        <f>2023009.54</f>
        <v>2023009.54</v>
      </c>
      <c r="S115" s="36"/>
    </row>
    <row r="116" spans="1:19" s="1" customFormat="1" ht="33.75" customHeight="1">
      <c r="A116" s="29" t="s">
        <v>288</v>
      </c>
      <c r="B116" s="29"/>
      <c r="C116" s="29"/>
      <c r="D116" s="29"/>
      <c r="E116" s="29"/>
      <c r="F116" s="30" t="s">
        <v>289</v>
      </c>
      <c r="G116" s="30"/>
      <c r="H116" s="30"/>
      <c r="I116" s="31">
        <f>708386.77</f>
        <v>708386.77</v>
      </c>
      <c r="J116" s="31"/>
      <c r="K116" s="32">
        <f>1060531.16</f>
        <v>1060531.16</v>
      </c>
      <c r="L116" s="32"/>
      <c r="M116" s="33">
        <f>691210.17</f>
        <v>691210.17</v>
      </c>
      <c r="N116" s="34" t="s">
        <v>290</v>
      </c>
      <c r="O116" s="35" t="s">
        <v>291</v>
      </c>
      <c r="P116" s="31">
        <f>17176.6</f>
        <v>17176.6</v>
      </c>
      <c r="Q116" s="31"/>
      <c r="R116" s="36">
        <f>369320.99</f>
        <v>369320.99</v>
      </c>
      <c r="S116" s="36"/>
    </row>
    <row r="117" spans="1:19" s="1" customFormat="1" ht="24" customHeight="1">
      <c r="A117" s="29" t="s">
        <v>292</v>
      </c>
      <c r="B117" s="29"/>
      <c r="C117" s="29"/>
      <c r="D117" s="29"/>
      <c r="E117" s="29"/>
      <c r="F117" s="30" t="s">
        <v>117</v>
      </c>
      <c r="G117" s="30"/>
      <c r="H117" s="30"/>
      <c r="I117" s="31">
        <f>708386.77</f>
        <v>708386.77</v>
      </c>
      <c r="J117" s="31"/>
      <c r="K117" s="32">
        <f>1060531.16</f>
        <v>1060531.16</v>
      </c>
      <c r="L117" s="32"/>
      <c r="M117" s="33">
        <f>691210.17</f>
        <v>691210.17</v>
      </c>
      <c r="N117" s="34" t="s">
        <v>290</v>
      </c>
      <c r="O117" s="35" t="s">
        <v>291</v>
      </c>
      <c r="P117" s="31">
        <f>17176.6</f>
        <v>17176.6</v>
      </c>
      <c r="Q117" s="31"/>
      <c r="R117" s="36">
        <f>369320.99</f>
        <v>369320.99</v>
      </c>
      <c r="S117" s="36"/>
    </row>
    <row r="118" spans="1:19" s="1" customFormat="1" ht="33.75" customHeight="1">
      <c r="A118" s="29" t="s">
        <v>293</v>
      </c>
      <c r="B118" s="29"/>
      <c r="C118" s="29"/>
      <c r="D118" s="29"/>
      <c r="E118" s="29"/>
      <c r="F118" s="30" t="s">
        <v>294</v>
      </c>
      <c r="G118" s="30"/>
      <c r="H118" s="30"/>
      <c r="I118" s="37" t="s">
        <v>1</v>
      </c>
      <c r="J118" s="37"/>
      <c r="K118" s="32">
        <f>2409325.14</f>
        <v>2409325.14</v>
      </c>
      <c r="L118" s="32"/>
      <c r="M118" s="34" t="s">
        <v>1</v>
      </c>
      <c r="N118" s="34" t="s">
        <v>103</v>
      </c>
      <c r="O118" s="35" t="s">
        <v>103</v>
      </c>
      <c r="P118" s="37" t="s">
        <v>1</v>
      </c>
      <c r="Q118" s="37"/>
      <c r="R118" s="36">
        <f>2409325.14</f>
        <v>2409325.14</v>
      </c>
      <c r="S118" s="36"/>
    </row>
    <row r="119" spans="1:19" s="1" customFormat="1" ht="24" customHeight="1">
      <c r="A119" s="29" t="s">
        <v>295</v>
      </c>
      <c r="B119" s="29"/>
      <c r="C119" s="29"/>
      <c r="D119" s="29"/>
      <c r="E119" s="29"/>
      <c r="F119" s="30" t="s">
        <v>117</v>
      </c>
      <c r="G119" s="30"/>
      <c r="H119" s="30"/>
      <c r="I119" s="37" t="s">
        <v>1</v>
      </c>
      <c r="J119" s="37"/>
      <c r="K119" s="32">
        <f>2409325.14</f>
        <v>2409325.14</v>
      </c>
      <c r="L119" s="32"/>
      <c r="M119" s="34" t="s">
        <v>1</v>
      </c>
      <c r="N119" s="34" t="s">
        <v>103</v>
      </c>
      <c r="O119" s="35" t="s">
        <v>103</v>
      </c>
      <c r="P119" s="37" t="s">
        <v>1</v>
      </c>
      <c r="Q119" s="37"/>
      <c r="R119" s="36">
        <f>2409325.14</f>
        <v>2409325.14</v>
      </c>
      <c r="S119" s="36"/>
    </row>
    <row r="120" spans="1:19" s="1" customFormat="1" ht="45" customHeight="1">
      <c r="A120" s="29" t="s">
        <v>296</v>
      </c>
      <c r="B120" s="29"/>
      <c r="C120" s="29"/>
      <c r="D120" s="29"/>
      <c r="E120" s="29"/>
      <c r="F120" s="30" t="s">
        <v>297</v>
      </c>
      <c r="G120" s="30"/>
      <c r="H120" s="30"/>
      <c r="I120" s="31">
        <f>2073426.38</f>
        <v>2073426.38</v>
      </c>
      <c r="J120" s="31"/>
      <c r="K120" s="32">
        <f>3823426.38</f>
        <v>3823426.38</v>
      </c>
      <c r="L120" s="32"/>
      <c r="M120" s="33">
        <f>2049562.68</f>
        <v>2049562.68</v>
      </c>
      <c r="N120" s="34" t="s">
        <v>298</v>
      </c>
      <c r="O120" s="35" t="s">
        <v>299</v>
      </c>
      <c r="P120" s="31">
        <f>23863.7</f>
        <v>23863.7</v>
      </c>
      <c r="Q120" s="31"/>
      <c r="R120" s="36">
        <f>1773863.7</f>
        <v>1773863.7</v>
      </c>
      <c r="S120" s="36"/>
    </row>
    <row r="121" spans="1:19" s="1" customFormat="1" ht="24" customHeight="1">
      <c r="A121" s="29" t="s">
        <v>300</v>
      </c>
      <c r="B121" s="29"/>
      <c r="C121" s="29"/>
      <c r="D121" s="29"/>
      <c r="E121" s="29"/>
      <c r="F121" s="30" t="s">
        <v>117</v>
      </c>
      <c r="G121" s="30"/>
      <c r="H121" s="30"/>
      <c r="I121" s="31">
        <f>2073426.38</f>
        <v>2073426.38</v>
      </c>
      <c r="J121" s="31"/>
      <c r="K121" s="32">
        <f>3823426.38</f>
        <v>3823426.38</v>
      </c>
      <c r="L121" s="32"/>
      <c r="M121" s="33">
        <f>2049562.68</f>
        <v>2049562.68</v>
      </c>
      <c r="N121" s="34" t="s">
        <v>298</v>
      </c>
      <c r="O121" s="35" t="s">
        <v>299</v>
      </c>
      <c r="P121" s="31">
        <f>23863.7</f>
        <v>23863.7</v>
      </c>
      <c r="Q121" s="31"/>
      <c r="R121" s="36">
        <f>1773863.7</f>
        <v>1773863.7</v>
      </c>
      <c r="S121" s="36"/>
    </row>
    <row r="122" spans="1:19" s="1" customFormat="1" ht="33.75" customHeight="1">
      <c r="A122" s="29" t="s">
        <v>301</v>
      </c>
      <c r="B122" s="29"/>
      <c r="C122" s="29"/>
      <c r="D122" s="29"/>
      <c r="E122" s="29"/>
      <c r="F122" s="30" t="s">
        <v>302</v>
      </c>
      <c r="G122" s="30"/>
      <c r="H122" s="30"/>
      <c r="I122" s="31">
        <f>2052349.42</f>
        <v>2052349.42</v>
      </c>
      <c r="J122" s="31"/>
      <c r="K122" s="32">
        <f>3547349.42</f>
        <v>3547349.42</v>
      </c>
      <c r="L122" s="32"/>
      <c r="M122" s="33">
        <f>1517497</f>
        <v>1517497</v>
      </c>
      <c r="N122" s="34" t="s">
        <v>303</v>
      </c>
      <c r="O122" s="35" t="s">
        <v>304</v>
      </c>
      <c r="P122" s="31">
        <f>534852.42</f>
        <v>534852.42</v>
      </c>
      <c r="Q122" s="31"/>
      <c r="R122" s="36">
        <f>2029852.42</f>
        <v>2029852.42</v>
      </c>
      <c r="S122" s="36"/>
    </row>
    <row r="123" spans="1:19" s="1" customFormat="1" ht="24" customHeight="1">
      <c r="A123" s="29" t="s">
        <v>305</v>
      </c>
      <c r="B123" s="29"/>
      <c r="C123" s="29"/>
      <c r="D123" s="29"/>
      <c r="E123" s="29"/>
      <c r="F123" s="30" t="s">
        <v>117</v>
      </c>
      <c r="G123" s="30"/>
      <c r="H123" s="30"/>
      <c r="I123" s="31">
        <f>400000</f>
        <v>400000</v>
      </c>
      <c r="J123" s="31"/>
      <c r="K123" s="32">
        <f>600000</f>
        <v>600000</v>
      </c>
      <c r="L123" s="32"/>
      <c r="M123" s="33">
        <f>166159.5</f>
        <v>166159.5</v>
      </c>
      <c r="N123" s="34" t="s">
        <v>306</v>
      </c>
      <c r="O123" s="35" t="s">
        <v>307</v>
      </c>
      <c r="P123" s="31">
        <f>233840.5</f>
        <v>233840.5</v>
      </c>
      <c r="Q123" s="31"/>
      <c r="R123" s="36">
        <f>433840.5</f>
        <v>433840.5</v>
      </c>
      <c r="S123" s="36"/>
    </row>
    <row r="124" spans="1:19" s="1" customFormat="1" ht="13.5" customHeight="1">
      <c r="A124" s="29" t="s">
        <v>308</v>
      </c>
      <c r="B124" s="29"/>
      <c r="C124" s="29"/>
      <c r="D124" s="29"/>
      <c r="E124" s="29"/>
      <c r="F124" s="30" t="s">
        <v>121</v>
      </c>
      <c r="G124" s="30"/>
      <c r="H124" s="30"/>
      <c r="I124" s="31">
        <f>1652349.42</f>
        <v>1652349.42</v>
      </c>
      <c r="J124" s="31"/>
      <c r="K124" s="32">
        <f>2947349.42</f>
        <v>2947349.42</v>
      </c>
      <c r="L124" s="32"/>
      <c r="M124" s="33">
        <f>1351337.5</f>
        <v>1351337.5</v>
      </c>
      <c r="N124" s="34" t="s">
        <v>309</v>
      </c>
      <c r="O124" s="35" t="s">
        <v>310</v>
      </c>
      <c r="P124" s="31">
        <f>301011.92</f>
        <v>301011.92</v>
      </c>
      <c r="Q124" s="31"/>
      <c r="R124" s="36">
        <f>1596011.92</f>
        <v>1596011.92</v>
      </c>
      <c r="S124" s="36"/>
    </row>
    <row r="125" spans="1:19" s="1" customFormat="1" ht="33.75" customHeight="1">
      <c r="A125" s="29" t="s">
        <v>311</v>
      </c>
      <c r="B125" s="29"/>
      <c r="C125" s="29"/>
      <c r="D125" s="29"/>
      <c r="E125" s="29"/>
      <c r="F125" s="30" t="s">
        <v>312</v>
      </c>
      <c r="G125" s="30"/>
      <c r="H125" s="30"/>
      <c r="I125" s="31">
        <f>710000</f>
        <v>710000</v>
      </c>
      <c r="J125" s="31"/>
      <c r="K125" s="32">
        <f>800000</f>
        <v>800000</v>
      </c>
      <c r="L125" s="32"/>
      <c r="M125" s="33">
        <f>15843.17</f>
        <v>15843.17</v>
      </c>
      <c r="N125" s="34" t="s">
        <v>313</v>
      </c>
      <c r="O125" s="35" t="s">
        <v>314</v>
      </c>
      <c r="P125" s="31">
        <f>694156.83</f>
        <v>694156.83</v>
      </c>
      <c r="Q125" s="31"/>
      <c r="R125" s="36">
        <f>784156.83</f>
        <v>784156.83</v>
      </c>
      <c r="S125" s="36"/>
    </row>
    <row r="126" spans="1:19" s="1" customFormat="1" ht="24" customHeight="1">
      <c r="A126" s="29" t="s">
        <v>315</v>
      </c>
      <c r="B126" s="29"/>
      <c r="C126" s="29"/>
      <c r="D126" s="29"/>
      <c r="E126" s="29"/>
      <c r="F126" s="30" t="s">
        <v>117</v>
      </c>
      <c r="G126" s="30"/>
      <c r="H126" s="30"/>
      <c r="I126" s="31">
        <f>710000</f>
        <v>710000</v>
      </c>
      <c r="J126" s="31"/>
      <c r="K126" s="32">
        <f>800000</f>
        <v>800000</v>
      </c>
      <c r="L126" s="32"/>
      <c r="M126" s="33">
        <f>15843.17</f>
        <v>15843.17</v>
      </c>
      <c r="N126" s="34" t="s">
        <v>313</v>
      </c>
      <c r="O126" s="35" t="s">
        <v>314</v>
      </c>
      <c r="P126" s="31">
        <f>694156.83</f>
        <v>694156.83</v>
      </c>
      <c r="Q126" s="31"/>
      <c r="R126" s="36">
        <f>784156.83</f>
        <v>784156.83</v>
      </c>
      <c r="S126" s="36"/>
    </row>
    <row r="127" spans="1:19" s="1" customFormat="1" ht="33.75" customHeight="1">
      <c r="A127" s="29" t="s">
        <v>316</v>
      </c>
      <c r="B127" s="29"/>
      <c r="C127" s="29"/>
      <c r="D127" s="29"/>
      <c r="E127" s="29"/>
      <c r="F127" s="30" t="s">
        <v>317</v>
      </c>
      <c r="G127" s="30"/>
      <c r="H127" s="30"/>
      <c r="I127" s="37" t="s">
        <v>1</v>
      </c>
      <c r="J127" s="37"/>
      <c r="K127" s="32">
        <f>2185641.8</f>
        <v>2185641.8</v>
      </c>
      <c r="L127" s="32"/>
      <c r="M127" s="34" t="s">
        <v>1</v>
      </c>
      <c r="N127" s="34" t="s">
        <v>103</v>
      </c>
      <c r="O127" s="35" t="s">
        <v>103</v>
      </c>
      <c r="P127" s="37" t="s">
        <v>1</v>
      </c>
      <c r="Q127" s="37"/>
      <c r="R127" s="36">
        <f>2185641.8</f>
        <v>2185641.8</v>
      </c>
      <c r="S127" s="36"/>
    </row>
    <row r="128" spans="1:19" s="1" customFormat="1" ht="24" customHeight="1">
      <c r="A128" s="29" t="s">
        <v>318</v>
      </c>
      <c r="B128" s="29"/>
      <c r="C128" s="29"/>
      <c r="D128" s="29"/>
      <c r="E128" s="29"/>
      <c r="F128" s="30" t="s">
        <v>117</v>
      </c>
      <c r="G128" s="30"/>
      <c r="H128" s="30"/>
      <c r="I128" s="37" t="s">
        <v>1</v>
      </c>
      <c r="J128" s="37"/>
      <c r="K128" s="32">
        <f>2185641.8</f>
        <v>2185641.8</v>
      </c>
      <c r="L128" s="32"/>
      <c r="M128" s="34" t="s">
        <v>1</v>
      </c>
      <c r="N128" s="34" t="s">
        <v>103</v>
      </c>
      <c r="O128" s="35" t="s">
        <v>103</v>
      </c>
      <c r="P128" s="37" t="s">
        <v>1</v>
      </c>
      <c r="Q128" s="37"/>
      <c r="R128" s="36">
        <f>2185641.8</f>
        <v>2185641.8</v>
      </c>
      <c r="S128" s="36"/>
    </row>
    <row r="129" spans="1:19" s="1" customFormat="1" ht="13.5" customHeight="1">
      <c r="A129" s="29" t="s">
        <v>319</v>
      </c>
      <c r="B129" s="29"/>
      <c r="C129" s="29"/>
      <c r="D129" s="29"/>
      <c r="E129" s="29"/>
      <c r="F129" s="30" t="s">
        <v>320</v>
      </c>
      <c r="G129" s="30"/>
      <c r="H129" s="30"/>
      <c r="I129" s="31">
        <f>21845800</f>
        <v>21845800</v>
      </c>
      <c r="J129" s="31"/>
      <c r="K129" s="32">
        <f>43015000</f>
        <v>43015000</v>
      </c>
      <c r="L129" s="32"/>
      <c r="M129" s="33">
        <f>17943602.35</f>
        <v>17943602.35</v>
      </c>
      <c r="N129" s="34" t="s">
        <v>321</v>
      </c>
      <c r="O129" s="35" t="s">
        <v>322</v>
      </c>
      <c r="P129" s="31">
        <f>3902197.65</f>
        <v>3902197.65</v>
      </c>
      <c r="Q129" s="31"/>
      <c r="R129" s="36">
        <f>25071397.65</f>
        <v>25071397.65</v>
      </c>
      <c r="S129" s="36"/>
    </row>
    <row r="130" spans="1:19" s="1" customFormat="1" ht="45" customHeight="1">
      <c r="A130" s="29" t="s">
        <v>323</v>
      </c>
      <c r="B130" s="29"/>
      <c r="C130" s="29"/>
      <c r="D130" s="29"/>
      <c r="E130" s="29"/>
      <c r="F130" s="30" t="s">
        <v>324</v>
      </c>
      <c r="G130" s="30"/>
      <c r="H130" s="30"/>
      <c r="I130" s="31">
        <f>3315800</f>
        <v>3315800</v>
      </c>
      <c r="J130" s="31"/>
      <c r="K130" s="32">
        <f>6631500</f>
        <v>6631500</v>
      </c>
      <c r="L130" s="32"/>
      <c r="M130" s="33">
        <f>2763100</f>
        <v>2763100</v>
      </c>
      <c r="N130" s="34" t="s">
        <v>325</v>
      </c>
      <c r="O130" s="35" t="s">
        <v>326</v>
      </c>
      <c r="P130" s="31">
        <f>552700</f>
        <v>552700</v>
      </c>
      <c r="Q130" s="31"/>
      <c r="R130" s="36">
        <f>3868400</f>
        <v>3868400</v>
      </c>
      <c r="S130" s="36"/>
    </row>
    <row r="131" spans="1:19" s="1" customFormat="1" ht="54.75" customHeight="1">
      <c r="A131" s="29" t="s">
        <v>327</v>
      </c>
      <c r="B131" s="29"/>
      <c r="C131" s="29"/>
      <c r="D131" s="29"/>
      <c r="E131" s="29"/>
      <c r="F131" s="30" t="s">
        <v>328</v>
      </c>
      <c r="G131" s="30"/>
      <c r="H131" s="30"/>
      <c r="I131" s="31">
        <f>3315800</f>
        <v>3315800</v>
      </c>
      <c r="J131" s="31"/>
      <c r="K131" s="32">
        <f>6631500</f>
        <v>6631500</v>
      </c>
      <c r="L131" s="32"/>
      <c r="M131" s="33">
        <f>2763100</f>
        <v>2763100</v>
      </c>
      <c r="N131" s="34" t="s">
        <v>325</v>
      </c>
      <c r="O131" s="35" t="s">
        <v>326</v>
      </c>
      <c r="P131" s="31">
        <f>552700</f>
        <v>552700</v>
      </c>
      <c r="Q131" s="31"/>
      <c r="R131" s="36">
        <f>3868400</f>
        <v>3868400</v>
      </c>
      <c r="S131" s="36"/>
    </row>
    <row r="132" spans="1:19" s="1" customFormat="1" ht="24" customHeight="1">
      <c r="A132" s="29" t="s">
        <v>329</v>
      </c>
      <c r="B132" s="29"/>
      <c r="C132" s="29"/>
      <c r="D132" s="29"/>
      <c r="E132" s="29"/>
      <c r="F132" s="30" t="s">
        <v>330</v>
      </c>
      <c r="G132" s="30"/>
      <c r="H132" s="30"/>
      <c r="I132" s="31">
        <f>10760000</f>
        <v>10760000</v>
      </c>
      <c r="J132" s="31"/>
      <c r="K132" s="32">
        <f>21518500</f>
        <v>21518500</v>
      </c>
      <c r="L132" s="32"/>
      <c r="M132" s="33">
        <f>8967000</f>
        <v>8967000</v>
      </c>
      <c r="N132" s="34" t="s">
        <v>331</v>
      </c>
      <c r="O132" s="35" t="s">
        <v>326</v>
      </c>
      <c r="P132" s="31">
        <f>1793000</f>
        <v>1793000</v>
      </c>
      <c r="Q132" s="31"/>
      <c r="R132" s="36">
        <f>12551500</f>
        <v>12551500</v>
      </c>
      <c r="S132" s="36"/>
    </row>
    <row r="133" spans="1:19" s="1" customFormat="1" ht="54.75" customHeight="1">
      <c r="A133" s="29" t="s">
        <v>332</v>
      </c>
      <c r="B133" s="29"/>
      <c r="C133" s="29"/>
      <c r="D133" s="29"/>
      <c r="E133" s="29"/>
      <c r="F133" s="30" t="s">
        <v>328</v>
      </c>
      <c r="G133" s="30"/>
      <c r="H133" s="30"/>
      <c r="I133" s="31">
        <f>10760000</f>
        <v>10760000</v>
      </c>
      <c r="J133" s="31"/>
      <c r="K133" s="32">
        <f>21518500</f>
        <v>21518500</v>
      </c>
      <c r="L133" s="32"/>
      <c r="M133" s="33">
        <f>8967000</f>
        <v>8967000</v>
      </c>
      <c r="N133" s="34" t="s">
        <v>331</v>
      </c>
      <c r="O133" s="35" t="s">
        <v>326</v>
      </c>
      <c r="P133" s="31">
        <f>1793000</f>
        <v>1793000</v>
      </c>
      <c r="Q133" s="31"/>
      <c r="R133" s="36">
        <f>12551500</f>
        <v>12551500</v>
      </c>
      <c r="S133" s="36"/>
    </row>
    <row r="134" spans="1:19" s="1" customFormat="1" ht="45" customHeight="1">
      <c r="A134" s="29" t="s">
        <v>333</v>
      </c>
      <c r="B134" s="29"/>
      <c r="C134" s="29"/>
      <c r="D134" s="29"/>
      <c r="E134" s="29"/>
      <c r="F134" s="30" t="s">
        <v>324</v>
      </c>
      <c r="G134" s="30"/>
      <c r="H134" s="30"/>
      <c r="I134" s="31">
        <f>1785400</f>
        <v>1785400</v>
      </c>
      <c r="J134" s="31"/>
      <c r="K134" s="32">
        <f>3570800</f>
        <v>3570800</v>
      </c>
      <c r="L134" s="32"/>
      <c r="M134" s="33">
        <f>1487858.35</f>
        <v>1487858.35</v>
      </c>
      <c r="N134" s="34" t="s">
        <v>325</v>
      </c>
      <c r="O134" s="35" t="s">
        <v>326</v>
      </c>
      <c r="P134" s="31">
        <f>297541.65</f>
        <v>297541.65</v>
      </c>
      <c r="Q134" s="31"/>
      <c r="R134" s="36">
        <f>2082941.65</f>
        <v>2082941.65</v>
      </c>
      <c r="S134" s="36"/>
    </row>
    <row r="135" spans="1:19" s="1" customFormat="1" ht="54.75" customHeight="1">
      <c r="A135" s="29" t="s">
        <v>334</v>
      </c>
      <c r="B135" s="29"/>
      <c r="C135" s="29"/>
      <c r="D135" s="29"/>
      <c r="E135" s="29"/>
      <c r="F135" s="30" t="s">
        <v>328</v>
      </c>
      <c r="G135" s="30"/>
      <c r="H135" s="30"/>
      <c r="I135" s="31">
        <f>1785400</f>
        <v>1785400</v>
      </c>
      <c r="J135" s="31"/>
      <c r="K135" s="32">
        <f>3570800</f>
        <v>3570800</v>
      </c>
      <c r="L135" s="32"/>
      <c r="M135" s="33">
        <f>1487858.35</f>
        <v>1487858.35</v>
      </c>
      <c r="N135" s="34" t="s">
        <v>325</v>
      </c>
      <c r="O135" s="35" t="s">
        <v>326</v>
      </c>
      <c r="P135" s="31">
        <f>297541.65</f>
        <v>297541.65</v>
      </c>
      <c r="Q135" s="31"/>
      <c r="R135" s="36">
        <f>2082941.65</f>
        <v>2082941.65</v>
      </c>
      <c r="S135" s="36"/>
    </row>
    <row r="136" spans="1:19" s="1" customFormat="1" ht="24" customHeight="1">
      <c r="A136" s="29" t="s">
        <v>335</v>
      </c>
      <c r="B136" s="29"/>
      <c r="C136" s="29"/>
      <c r="D136" s="29"/>
      <c r="E136" s="29"/>
      <c r="F136" s="30" t="s">
        <v>330</v>
      </c>
      <c r="G136" s="30"/>
      <c r="H136" s="30"/>
      <c r="I136" s="31">
        <f>4874600</f>
        <v>4874600</v>
      </c>
      <c r="J136" s="31"/>
      <c r="K136" s="32">
        <f>9749200</f>
        <v>9749200</v>
      </c>
      <c r="L136" s="32"/>
      <c r="M136" s="33">
        <f>4062200</f>
        <v>4062200</v>
      </c>
      <c r="N136" s="34" t="s">
        <v>325</v>
      </c>
      <c r="O136" s="35" t="s">
        <v>326</v>
      </c>
      <c r="P136" s="31">
        <f>812400</f>
        <v>812400</v>
      </c>
      <c r="Q136" s="31"/>
      <c r="R136" s="36">
        <f>5687000</f>
        <v>5687000</v>
      </c>
      <c r="S136" s="36"/>
    </row>
    <row r="137" spans="1:19" s="1" customFormat="1" ht="54.75" customHeight="1">
      <c r="A137" s="29" t="s">
        <v>336</v>
      </c>
      <c r="B137" s="29"/>
      <c r="C137" s="29"/>
      <c r="D137" s="29"/>
      <c r="E137" s="29"/>
      <c r="F137" s="30" t="s">
        <v>328</v>
      </c>
      <c r="G137" s="30"/>
      <c r="H137" s="30"/>
      <c r="I137" s="31">
        <f>4874600</f>
        <v>4874600</v>
      </c>
      <c r="J137" s="31"/>
      <c r="K137" s="32">
        <f>9749200</f>
        <v>9749200</v>
      </c>
      <c r="L137" s="32"/>
      <c r="M137" s="33">
        <f>4062200</f>
        <v>4062200</v>
      </c>
      <c r="N137" s="34" t="s">
        <v>325</v>
      </c>
      <c r="O137" s="35" t="s">
        <v>326</v>
      </c>
      <c r="P137" s="31">
        <f>812400</f>
        <v>812400</v>
      </c>
      <c r="Q137" s="31"/>
      <c r="R137" s="36">
        <f>5687000</f>
        <v>5687000</v>
      </c>
      <c r="S137" s="36"/>
    </row>
    <row r="138" spans="1:19" s="1" customFormat="1" ht="24" customHeight="1">
      <c r="A138" s="29" t="s">
        <v>337</v>
      </c>
      <c r="B138" s="29"/>
      <c r="C138" s="29"/>
      <c r="D138" s="29"/>
      <c r="E138" s="29"/>
      <c r="F138" s="30" t="s">
        <v>330</v>
      </c>
      <c r="G138" s="30"/>
      <c r="H138" s="30"/>
      <c r="I138" s="31">
        <f>1010000</f>
        <v>1010000</v>
      </c>
      <c r="J138" s="31"/>
      <c r="K138" s="32">
        <f>1445000</f>
        <v>1445000</v>
      </c>
      <c r="L138" s="32"/>
      <c r="M138" s="33">
        <f>563444</f>
        <v>563444</v>
      </c>
      <c r="N138" s="34" t="s">
        <v>338</v>
      </c>
      <c r="O138" s="35" t="s">
        <v>339</v>
      </c>
      <c r="P138" s="31">
        <f>446556</f>
        <v>446556</v>
      </c>
      <c r="Q138" s="31"/>
      <c r="R138" s="36">
        <f>881556</f>
        <v>881556</v>
      </c>
      <c r="S138" s="36"/>
    </row>
    <row r="139" spans="1:19" s="1" customFormat="1" ht="13.5" customHeight="1">
      <c r="A139" s="29" t="s">
        <v>340</v>
      </c>
      <c r="B139" s="29"/>
      <c r="C139" s="29"/>
      <c r="D139" s="29"/>
      <c r="E139" s="29"/>
      <c r="F139" s="30" t="s">
        <v>341</v>
      </c>
      <c r="G139" s="30"/>
      <c r="H139" s="30"/>
      <c r="I139" s="31">
        <f>1010000</f>
        <v>1010000</v>
      </c>
      <c r="J139" s="31"/>
      <c r="K139" s="32">
        <f>1445000</f>
        <v>1445000</v>
      </c>
      <c r="L139" s="32"/>
      <c r="M139" s="33">
        <f>563444</f>
        <v>563444</v>
      </c>
      <c r="N139" s="34" t="s">
        <v>338</v>
      </c>
      <c r="O139" s="35" t="s">
        <v>339</v>
      </c>
      <c r="P139" s="31">
        <f>446556</f>
        <v>446556</v>
      </c>
      <c r="Q139" s="31"/>
      <c r="R139" s="36">
        <f>881556</f>
        <v>881556</v>
      </c>
      <c r="S139" s="36"/>
    </row>
    <row r="140" spans="1:19" s="1" customFormat="1" ht="33.75" customHeight="1">
      <c r="A140" s="29" t="s">
        <v>342</v>
      </c>
      <c r="B140" s="29"/>
      <c r="C140" s="29"/>
      <c r="D140" s="29"/>
      <c r="E140" s="29"/>
      <c r="F140" s="30" t="s">
        <v>343</v>
      </c>
      <c r="G140" s="30"/>
      <c r="H140" s="30"/>
      <c r="I140" s="31">
        <f>100000</f>
        <v>100000</v>
      </c>
      <c r="J140" s="31"/>
      <c r="K140" s="32">
        <f>100000</f>
        <v>100000</v>
      </c>
      <c r="L140" s="32"/>
      <c r="M140" s="33">
        <f>100000</f>
        <v>100000</v>
      </c>
      <c r="N140" s="34" t="s">
        <v>96</v>
      </c>
      <c r="O140" s="35" t="s">
        <v>96</v>
      </c>
      <c r="P140" s="37" t="s">
        <v>1</v>
      </c>
      <c r="Q140" s="37"/>
      <c r="R140" s="38" t="s">
        <v>1</v>
      </c>
      <c r="S140" s="38"/>
    </row>
    <row r="141" spans="1:19" s="1" customFormat="1" ht="13.5" customHeight="1">
      <c r="A141" s="29" t="s">
        <v>344</v>
      </c>
      <c r="B141" s="29"/>
      <c r="C141" s="29"/>
      <c r="D141" s="29"/>
      <c r="E141" s="29"/>
      <c r="F141" s="30" t="s">
        <v>341</v>
      </c>
      <c r="G141" s="30"/>
      <c r="H141" s="30"/>
      <c r="I141" s="31">
        <f>100000</f>
        <v>100000</v>
      </c>
      <c r="J141" s="31"/>
      <c r="K141" s="32">
        <f>100000</f>
        <v>100000</v>
      </c>
      <c r="L141" s="32"/>
      <c r="M141" s="33">
        <f>100000</f>
        <v>100000</v>
      </c>
      <c r="N141" s="34" t="s">
        <v>96</v>
      </c>
      <c r="O141" s="35" t="s">
        <v>96</v>
      </c>
      <c r="P141" s="37" t="s">
        <v>1</v>
      </c>
      <c r="Q141" s="37"/>
      <c r="R141" s="38" t="s">
        <v>1</v>
      </c>
      <c r="S141" s="38"/>
    </row>
    <row r="142" spans="1:19" s="1" customFormat="1" ht="13.5" customHeight="1">
      <c r="A142" s="29" t="s">
        <v>345</v>
      </c>
      <c r="B142" s="29"/>
      <c r="C142" s="29"/>
      <c r="D142" s="29"/>
      <c r="E142" s="29"/>
      <c r="F142" s="30" t="s">
        <v>346</v>
      </c>
      <c r="G142" s="30"/>
      <c r="H142" s="30"/>
      <c r="I142" s="31">
        <f>808200</f>
        <v>808200</v>
      </c>
      <c r="J142" s="31"/>
      <c r="K142" s="32">
        <f>1480900</f>
        <v>1480900</v>
      </c>
      <c r="L142" s="32"/>
      <c r="M142" s="33">
        <f>617015</f>
        <v>617015</v>
      </c>
      <c r="N142" s="34" t="s">
        <v>347</v>
      </c>
      <c r="O142" s="35" t="s">
        <v>348</v>
      </c>
      <c r="P142" s="31">
        <f>191185</f>
        <v>191185</v>
      </c>
      <c r="Q142" s="31"/>
      <c r="R142" s="36">
        <f>863885</f>
        <v>863885</v>
      </c>
      <c r="S142" s="36"/>
    </row>
    <row r="143" spans="1:19" s="1" customFormat="1" ht="13.5" customHeight="1">
      <c r="A143" s="29" t="s">
        <v>349</v>
      </c>
      <c r="B143" s="29"/>
      <c r="C143" s="29"/>
      <c r="D143" s="29"/>
      <c r="E143" s="29"/>
      <c r="F143" s="30" t="s">
        <v>113</v>
      </c>
      <c r="G143" s="30"/>
      <c r="H143" s="30"/>
      <c r="I143" s="31">
        <f>808200</f>
        <v>808200</v>
      </c>
      <c r="J143" s="31"/>
      <c r="K143" s="32">
        <f>1480900</f>
        <v>1480900</v>
      </c>
      <c r="L143" s="32"/>
      <c r="M143" s="33">
        <f>617015</f>
        <v>617015</v>
      </c>
      <c r="N143" s="34" t="s">
        <v>347</v>
      </c>
      <c r="O143" s="35" t="s">
        <v>348</v>
      </c>
      <c r="P143" s="31">
        <f>191185</f>
        <v>191185</v>
      </c>
      <c r="Q143" s="31"/>
      <c r="R143" s="36">
        <f>863885</f>
        <v>863885</v>
      </c>
      <c r="S143" s="36"/>
    </row>
    <row r="144" spans="1:19" s="1" customFormat="1" ht="24" customHeight="1">
      <c r="A144" s="29" t="s">
        <v>350</v>
      </c>
      <c r="B144" s="29"/>
      <c r="C144" s="29"/>
      <c r="D144" s="29"/>
      <c r="E144" s="29"/>
      <c r="F144" s="30" t="s">
        <v>351</v>
      </c>
      <c r="G144" s="30"/>
      <c r="H144" s="30"/>
      <c r="I144" s="31">
        <f>808200</f>
        <v>808200</v>
      </c>
      <c r="J144" s="31"/>
      <c r="K144" s="32">
        <f>1480900</f>
        <v>1480900</v>
      </c>
      <c r="L144" s="32"/>
      <c r="M144" s="33">
        <f>617015</f>
        <v>617015</v>
      </c>
      <c r="N144" s="34" t="s">
        <v>347</v>
      </c>
      <c r="O144" s="35" t="s">
        <v>348</v>
      </c>
      <c r="P144" s="31">
        <f>191185</f>
        <v>191185</v>
      </c>
      <c r="Q144" s="31"/>
      <c r="R144" s="36">
        <f>863885</f>
        <v>863885</v>
      </c>
      <c r="S144" s="36"/>
    </row>
    <row r="145" spans="1:19" s="1" customFormat="1" ht="13.5" customHeight="1">
      <c r="A145" s="29" t="s">
        <v>352</v>
      </c>
      <c r="B145" s="29"/>
      <c r="C145" s="29"/>
      <c r="D145" s="29"/>
      <c r="E145" s="29"/>
      <c r="F145" s="30" t="s">
        <v>353</v>
      </c>
      <c r="G145" s="30"/>
      <c r="H145" s="30"/>
      <c r="I145" s="31">
        <f>1808800</f>
        <v>1808800</v>
      </c>
      <c r="J145" s="31"/>
      <c r="K145" s="32">
        <f>3517000</f>
        <v>3517000</v>
      </c>
      <c r="L145" s="32"/>
      <c r="M145" s="33">
        <f>1524000</f>
        <v>1524000</v>
      </c>
      <c r="N145" s="34" t="s">
        <v>354</v>
      </c>
      <c r="O145" s="35" t="s">
        <v>355</v>
      </c>
      <c r="P145" s="31">
        <f>284800</f>
        <v>284800</v>
      </c>
      <c r="Q145" s="31"/>
      <c r="R145" s="36">
        <f>1993000</f>
        <v>1993000</v>
      </c>
      <c r="S145" s="36"/>
    </row>
    <row r="146" spans="1:19" s="1" customFormat="1" ht="24" customHeight="1">
      <c r="A146" s="29" t="s">
        <v>356</v>
      </c>
      <c r="B146" s="29"/>
      <c r="C146" s="29"/>
      <c r="D146" s="29"/>
      <c r="E146" s="29"/>
      <c r="F146" s="30" t="s">
        <v>330</v>
      </c>
      <c r="G146" s="30"/>
      <c r="H146" s="30"/>
      <c r="I146" s="31">
        <f>1708800</f>
        <v>1708800</v>
      </c>
      <c r="J146" s="31"/>
      <c r="K146" s="32">
        <f>3417000</f>
        <v>3417000</v>
      </c>
      <c r="L146" s="32"/>
      <c r="M146" s="33">
        <f>1424000</f>
        <v>1424000</v>
      </c>
      <c r="N146" s="34" t="s">
        <v>325</v>
      </c>
      <c r="O146" s="35" t="s">
        <v>326</v>
      </c>
      <c r="P146" s="31">
        <f>284800</f>
        <v>284800</v>
      </c>
      <c r="Q146" s="31"/>
      <c r="R146" s="36">
        <f>1993000</f>
        <v>1993000</v>
      </c>
      <c r="S146" s="36"/>
    </row>
    <row r="147" spans="1:19" s="1" customFormat="1" ht="54.75" customHeight="1">
      <c r="A147" s="29" t="s">
        <v>357</v>
      </c>
      <c r="B147" s="29"/>
      <c r="C147" s="29"/>
      <c r="D147" s="29"/>
      <c r="E147" s="29"/>
      <c r="F147" s="30" t="s">
        <v>328</v>
      </c>
      <c r="G147" s="30"/>
      <c r="H147" s="30"/>
      <c r="I147" s="31">
        <f>1708800</f>
        <v>1708800</v>
      </c>
      <c r="J147" s="31"/>
      <c r="K147" s="32">
        <f>3417000</f>
        <v>3417000</v>
      </c>
      <c r="L147" s="32"/>
      <c r="M147" s="33">
        <f>1424000</f>
        <v>1424000</v>
      </c>
      <c r="N147" s="34" t="s">
        <v>325</v>
      </c>
      <c r="O147" s="35" t="s">
        <v>326</v>
      </c>
      <c r="P147" s="31">
        <f>284800</f>
        <v>284800</v>
      </c>
      <c r="Q147" s="31"/>
      <c r="R147" s="36">
        <f>1993000</f>
        <v>1993000</v>
      </c>
      <c r="S147" s="36"/>
    </row>
    <row r="148" spans="1:19" s="1" customFormat="1" ht="24" customHeight="1">
      <c r="A148" s="29" t="s">
        <v>358</v>
      </c>
      <c r="B148" s="29"/>
      <c r="C148" s="29"/>
      <c r="D148" s="29"/>
      <c r="E148" s="29"/>
      <c r="F148" s="30" t="s">
        <v>330</v>
      </c>
      <c r="G148" s="30"/>
      <c r="H148" s="30"/>
      <c r="I148" s="31">
        <f>100000</f>
        <v>100000</v>
      </c>
      <c r="J148" s="31"/>
      <c r="K148" s="32">
        <f>100000</f>
        <v>100000</v>
      </c>
      <c r="L148" s="32"/>
      <c r="M148" s="33">
        <f>100000</f>
        <v>100000</v>
      </c>
      <c r="N148" s="34" t="s">
        <v>96</v>
      </c>
      <c r="O148" s="35" t="s">
        <v>96</v>
      </c>
      <c r="P148" s="37" t="s">
        <v>1</v>
      </c>
      <c r="Q148" s="37"/>
      <c r="R148" s="38" t="s">
        <v>1</v>
      </c>
      <c r="S148" s="38"/>
    </row>
    <row r="149" spans="1:19" s="1" customFormat="1" ht="13.5" customHeight="1">
      <c r="A149" s="29" t="s">
        <v>359</v>
      </c>
      <c r="B149" s="29"/>
      <c r="C149" s="29"/>
      <c r="D149" s="29"/>
      <c r="E149" s="29"/>
      <c r="F149" s="30" t="s">
        <v>341</v>
      </c>
      <c r="G149" s="30"/>
      <c r="H149" s="30"/>
      <c r="I149" s="31">
        <f>100000</f>
        <v>100000</v>
      </c>
      <c r="J149" s="31"/>
      <c r="K149" s="32">
        <f>100000</f>
        <v>100000</v>
      </c>
      <c r="L149" s="32"/>
      <c r="M149" s="33">
        <f>100000</f>
        <v>100000</v>
      </c>
      <c r="N149" s="34" t="s">
        <v>96</v>
      </c>
      <c r="O149" s="35" t="s">
        <v>96</v>
      </c>
      <c r="P149" s="37" t="s">
        <v>1</v>
      </c>
      <c r="Q149" s="37"/>
      <c r="R149" s="38" t="s">
        <v>1</v>
      </c>
      <c r="S149" s="38"/>
    </row>
    <row r="150" spans="1:19" s="1" customFormat="1" ht="15" customHeight="1">
      <c r="A150" s="39" t="s">
        <v>360</v>
      </c>
      <c r="B150" s="39"/>
      <c r="C150" s="39"/>
      <c r="D150" s="39"/>
      <c r="E150" s="39"/>
      <c r="F150" s="39"/>
      <c r="G150" s="39"/>
      <c r="H150" s="39"/>
      <c r="I150" s="40">
        <f>75164623.76</f>
        <v>75164623.76</v>
      </c>
      <c r="J150" s="40"/>
      <c r="K150" s="41">
        <f>136460627.3</f>
        <v>136460627.3</v>
      </c>
      <c r="L150" s="41"/>
      <c r="M150" s="42">
        <f>50621682.85</f>
        <v>50621682.85</v>
      </c>
      <c r="N150" s="42">
        <f>67.35</f>
        <v>67.35</v>
      </c>
      <c r="O150" s="43">
        <f>37.1</f>
        <v>37.1</v>
      </c>
      <c r="P150" s="40">
        <f>24542940.91</f>
        <v>24542940.91</v>
      </c>
      <c r="Q150" s="40"/>
      <c r="R150" s="44">
        <f>85838944.45</f>
        <v>85838944.45</v>
      </c>
      <c r="S150" s="44"/>
    </row>
    <row r="151" spans="1:19" s="1" customFormat="1" ht="15.75" customHeight="1">
      <c r="A151" s="45" t="s">
        <v>1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s="1" customFormat="1" ht="15.75" customHeight="1">
      <c r="A152" s="45" t="s">
        <v>1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s="1" customFormat="1" ht="13.5" customHeight="1">
      <c r="A153" s="46">
        <v>45447</v>
      </c>
      <c r="B153" s="46"/>
      <c r="C153" s="45" t="s">
        <v>1</v>
      </c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s="1" customFormat="1" ht="13.5" customHeight="1">
      <c r="A154" s="47" t="s">
        <v>361</v>
      </c>
      <c r="B154" s="47"/>
      <c r="C154" s="45" t="s">
        <v>1</v>
      </c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s="1" customFormat="1" ht="13.5" customHeight="1">
      <c r="A155" s="48" t="s">
        <v>1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</sheetData>
  <sheetProtection/>
  <mergeCells count="859">
    <mergeCell ref="A152:S152"/>
    <mergeCell ref="A153:B153"/>
    <mergeCell ref="C153:S153"/>
    <mergeCell ref="A154:B154"/>
    <mergeCell ref="C154:S154"/>
    <mergeCell ref="A155:S155"/>
    <mergeCell ref="A150:H150"/>
    <mergeCell ref="I150:J150"/>
    <mergeCell ref="K150:L150"/>
    <mergeCell ref="P150:Q150"/>
    <mergeCell ref="R150:S150"/>
    <mergeCell ref="A151:S151"/>
    <mergeCell ref="A149:E149"/>
    <mergeCell ref="F149:H149"/>
    <mergeCell ref="I149:J149"/>
    <mergeCell ref="K149:L149"/>
    <mergeCell ref="P149:Q149"/>
    <mergeCell ref="R149:S149"/>
    <mergeCell ref="A148:E148"/>
    <mergeCell ref="F148:H148"/>
    <mergeCell ref="I148:J148"/>
    <mergeCell ref="K148:L148"/>
    <mergeCell ref="P148:Q148"/>
    <mergeCell ref="R148:S148"/>
    <mergeCell ref="A147:E147"/>
    <mergeCell ref="F147:H147"/>
    <mergeCell ref="I147:J147"/>
    <mergeCell ref="K147:L147"/>
    <mergeCell ref="P147:Q147"/>
    <mergeCell ref="R147:S147"/>
    <mergeCell ref="A146:E146"/>
    <mergeCell ref="F146:H146"/>
    <mergeCell ref="I146:J146"/>
    <mergeCell ref="K146:L146"/>
    <mergeCell ref="P146:Q146"/>
    <mergeCell ref="R146:S146"/>
    <mergeCell ref="A145:E145"/>
    <mergeCell ref="F145:H145"/>
    <mergeCell ref="I145:J145"/>
    <mergeCell ref="K145:L145"/>
    <mergeCell ref="P145:Q145"/>
    <mergeCell ref="R145:S145"/>
    <mergeCell ref="A144:E144"/>
    <mergeCell ref="F144:H144"/>
    <mergeCell ref="I144:J144"/>
    <mergeCell ref="K144:L144"/>
    <mergeCell ref="P144:Q144"/>
    <mergeCell ref="R144:S144"/>
    <mergeCell ref="A143:E143"/>
    <mergeCell ref="F143:H143"/>
    <mergeCell ref="I143:J143"/>
    <mergeCell ref="K143:L143"/>
    <mergeCell ref="P143:Q143"/>
    <mergeCell ref="R143:S143"/>
    <mergeCell ref="A142:E142"/>
    <mergeCell ref="F142:H142"/>
    <mergeCell ref="I142:J142"/>
    <mergeCell ref="K142:L142"/>
    <mergeCell ref="P142:Q142"/>
    <mergeCell ref="R142:S142"/>
    <mergeCell ref="A141:E141"/>
    <mergeCell ref="F141:H141"/>
    <mergeCell ref="I141:J141"/>
    <mergeCell ref="K141:L141"/>
    <mergeCell ref="P141:Q141"/>
    <mergeCell ref="R141:S141"/>
    <mergeCell ref="A140:E140"/>
    <mergeCell ref="F140:H140"/>
    <mergeCell ref="I140:J140"/>
    <mergeCell ref="K140:L140"/>
    <mergeCell ref="P140:Q140"/>
    <mergeCell ref="R140:S140"/>
    <mergeCell ref="A139:E139"/>
    <mergeCell ref="F139:H139"/>
    <mergeCell ref="I139:J139"/>
    <mergeCell ref="K139:L139"/>
    <mergeCell ref="P139:Q139"/>
    <mergeCell ref="R139:S139"/>
    <mergeCell ref="A138:E138"/>
    <mergeCell ref="F138:H138"/>
    <mergeCell ref="I138:J138"/>
    <mergeCell ref="K138:L138"/>
    <mergeCell ref="P138:Q138"/>
    <mergeCell ref="R138:S138"/>
    <mergeCell ref="A137:E137"/>
    <mergeCell ref="F137:H137"/>
    <mergeCell ref="I137:J137"/>
    <mergeCell ref="K137:L137"/>
    <mergeCell ref="P137:Q137"/>
    <mergeCell ref="R137:S137"/>
    <mergeCell ref="A136:E136"/>
    <mergeCell ref="F136:H136"/>
    <mergeCell ref="I136:J136"/>
    <mergeCell ref="K136:L136"/>
    <mergeCell ref="P136:Q136"/>
    <mergeCell ref="R136:S136"/>
    <mergeCell ref="A135:E135"/>
    <mergeCell ref="F135:H135"/>
    <mergeCell ref="I135:J135"/>
    <mergeCell ref="K135:L135"/>
    <mergeCell ref="P135:Q135"/>
    <mergeCell ref="R135:S135"/>
    <mergeCell ref="A134:E134"/>
    <mergeCell ref="F134:H134"/>
    <mergeCell ref="I134:J134"/>
    <mergeCell ref="K134:L134"/>
    <mergeCell ref="P134:Q134"/>
    <mergeCell ref="R134:S134"/>
    <mergeCell ref="A133:E133"/>
    <mergeCell ref="F133:H133"/>
    <mergeCell ref="I133:J133"/>
    <mergeCell ref="K133:L133"/>
    <mergeCell ref="P133:Q133"/>
    <mergeCell ref="R133:S133"/>
    <mergeCell ref="A132:E132"/>
    <mergeCell ref="F132:H132"/>
    <mergeCell ref="I132:J132"/>
    <mergeCell ref="K132:L132"/>
    <mergeCell ref="P132:Q132"/>
    <mergeCell ref="R132:S132"/>
    <mergeCell ref="A131:E131"/>
    <mergeCell ref="F131:H131"/>
    <mergeCell ref="I131:J131"/>
    <mergeCell ref="K131:L131"/>
    <mergeCell ref="P131:Q131"/>
    <mergeCell ref="R131:S131"/>
    <mergeCell ref="A130:E130"/>
    <mergeCell ref="F130:H130"/>
    <mergeCell ref="I130:J130"/>
    <mergeCell ref="K130:L130"/>
    <mergeCell ref="P130:Q130"/>
    <mergeCell ref="R130:S130"/>
    <mergeCell ref="A129:E129"/>
    <mergeCell ref="F129:H129"/>
    <mergeCell ref="I129:J129"/>
    <mergeCell ref="K129:L129"/>
    <mergeCell ref="P129:Q129"/>
    <mergeCell ref="R129:S129"/>
    <mergeCell ref="A128:E128"/>
    <mergeCell ref="F128:H128"/>
    <mergeCell ref="I128:J128"/>
    <mergeCell ref="K128:L128"/>
    <mergeCell ref="P128:Q128"/>
    <mergeCell ref="R128:S128"/>
    <mergeCell ref="A127:E127"/>
    <mergeCell ref="F127:H127"/>
    <mergeCell ref="I127:J127"/>
    <mergeCell ref="K127:L127"/>
    <mergeCell ref="P127:Q127"/>
    <mergeCell ref="R127:S127"/>
    <mergeCell ref="A126:E126"/>
    <mergeCell ref="F126:H126"/>
    <mergeCell ref="I126:J126"/>
    <mergeCell ref="K126:L126"/>
    <mergeCell ref="P126:Q126"/>
    <mergeCell ref="R126:S126"/>
    <mergeCell ref="A125:E125"/>
    <mergeCell ref="F125:H125"/>
    <mergeCell ref="I125:J125"/>
    <mergeCell ref="K125:L125"/>
    <mergeCell ref="P125:Q125"/>
    <mergeCell ref="R125:S125"/>
    <mergeCell ref="A124:E124"/>
    <mergeCell ref="F124:H124"/>
    <mergeCell ref="I124:J124"/>
    <mergeCell ref="K124:L124"/>
    <mergeCell ref="P124:Q124"/>
    <mergeCell ref="R124:S124"/>
    <mergeCell ref="A123:E123"/>
    <mergeCell ref="F123:H123"/>
    <mergeCell ref="I123:J123"/>
    <mergeCell ref="K123:L123"/>
    <mergeCell ref="P123:Q123"/>
    <mergeCell ref="R123:S123"/>
    <mergeCell ref="A122:E122"/>
    <mergeCell ref="F122:H122"/>
    <mergeCell ref="I122:J122"/>
    <mergeCell ref="K122:L122"/>
    <mergeCell ref="P122:Q122"/>
    <mergeCell ref="R122:S122"/>
    <mergeCell ref="A121:E121"/>
    <mergeCell ref="F121:H121"/>
    <mergeCell ref="I121:J121"/>
    <mergeCell ref="K121:L121"/>
    <mergeCell ref="P121:Q121"/>
    <mergeCell ref="R121:S121"/>
    <mergeCell ref="A120:E120"/>
    <mergeCell ref="F120:H120"/>
    <mergeCell ref="I120:J120"/>
    <mergeCell ref="K120:L120"/>
    <mergeCell ref="P120:Q120"/>
    <mergeCell ref="R120:S120"/>
    <mergeCell ref="A119:E119"/>
    <mergeCell ref="F119:H119"/>
    <mergeCell ref="I119:J119"/>
    <mergeCell ref="K119:L119"/>
    <mergeCell ref="P119:Q119"/>
    <mergeCell ref="R119:S119"/>
    <mergeCell ref="A118:E118"/>
    <mergeCell ref="F118:H118"/>
    <mergeCell ref="I118:J118"/>
    <mergeCell ref="K118:L118"/>
    <mergeCell ref="P118:Q118"/>
    <mergeCell ref="R118:S118"/>
    <mergeCell ref="A117:E117"/>
    <mergeCell ref="F117:H117"/>
    <mergeCell ref="I117:J117"/>
    <mergeCell ref="K117:L117"/>
    <mergeCell ref="P117:Q117"/>
    <mergeCell ref="R117:S117"/>
    <mergeCell ref="A116:E116"/>
    <mergeCell ref="F116:H116"/>
    <mergeCell ref="I116:J116"/>
    <mergeCell ref="K116:L116"/>
    <mergeCell ref="P116:Q116"/>
    <mergeCell ref="R116:S116"/>
    <mergeCell ref="A115:E115"/>
    <mergeCell ref="F115:H115"/>
    <mergeCell ref="I115:J115"/>
    <mergeCell ref="K115:L115"/>
    <mergeCell ref="P115:Q115"/>
    <mergeCell ref="R115:S115"/>
    <mergeCell ref="A114:E114"/>
    <mergeCell ref="F114:H114"/>
    <mergeCell ref="I114:J114"/>
    <mergeCell ref="K114:L114"/>
    <mergeCell ref="P114:Q114"/>
    <mergeCell ref="R114:S114"/>
    <mergeCell ref="A113:E113"/>
    <mergeCell ref="F113:H113"/>
    <mergeCell ref="I113:J113"/>
    <mergeCell ref="K113:L113"/>
    <mergeCell ref="P113:Q113"/>
    <mergeCell ref="R113:S113"/>
    <mergeCell ref="A112:E112"/>
    <mergeCell ref="F112:H112"/>
    <mergeCell ref="I112:J112"/>
    <mergeCell ref="K112:L112"/>
    <mergeCell ref="P112:Q112"/>
    <mergeCell ref="R112:S112"/>
    <mergeCell ref="A111:E111"/>
    <mergeCell ref="F111:H111"/>
    <mergeCell ref="I111:J111"/>
    <mergeCell ref="K111:L111"/>
    <mergeCell ref="P111:Q111"/>
    <mergeCell ref="R111:S111"/>
    <mergeCell ref="A110:E110"/>
    <mergeCell ref="F110:H110"/>
    <mergeCell ref="I110:J110"/>
    <mergeCell ref="K110:L110"/>
    <mergeCell ref="P110:Q110"/>
    <mergeCell ref="R110:S110"/>
    <mergeCell ref="A109:E109"/>
    <mergeCell ref="F109:H109"/>
    <mergeCell ref="I109:J109"/>
    <mergeCell ref="K109:L109"/>
    <mergeCell ref="P109:Q109"/>
    <mergeCell ref="R109:S109"/>
    <mergeCell ref="A108:E108"/>
    <mergeCell ref="F108:H108"/>
    <mergeCell ref="I108:J108"/>
    <mergeCell ref="K108:L108"/>
    <mergeCell ref="P108:Q108"/>
    <mergeCell ref="R108:S108"/>
    <mergeCell ref="A107:E107"/>
    <mergeCell ref="F107:H107"/>
    <mergeCell ref="I107:J107"/>
    <mergeCell ref="K107:L107"/>
    <mergeCell ref="P107:Q107"/>
    <mergeCell ref="R107:S107"/>
    <mergeCell ref="A106:E106"/>
    <mergeCell ref="F106:H106"/>
    <mergeCell ref="I106:J106"/>
    <mergeCell ref="K106:L106"/>
    <mergeCell ref="P106:Q106"/>
    <mergeCell ref="R106:S106"/>
    <mergeCell ref="A105:E105"/>
    <mergeCell ref="F105:H105"/>
    <mergeCell ref="I105:J105"/>
    <mergeCell ref="K105:L105"/>
    <mergeCell ref="P105:Q105"/>
    <mergeCell ref="R105:S105"/>
    <mergeCell ref="A104:E104"/>
    <mergeCell ref="F104:H104"/>
    <mergeCell ref="I104:J104"/>
    <mergeCell ref="K104:L104"/>
    <mergeCell ref="P104:Q104"/>
    <mergeCell ref="R104:S104"/>
    <mergeCell ref="A103:E103"/>
    <mergeCell ref="F103:H103"/>
    <mergeCell ref="I103:J103"/>
    <mergeCell ref="K103:L103"/>
    <mergeCell ref="P103:Q103"/>
    <mergeCell ref="R103:S103"/>
    <mergeCell ref="A102:E102"/>
    <mergeCell ref="F102:H102"/>
    <mergeCell ref="I102:J102"/>
    <mergeCell ref="K102:L102"/>
    <mergeCell ref="P102:Q102"/>
    <mergeCell ref="R102:S102"/>
    <mergeCell ref="A101:E101"/>
    <mergeCell ref="F101:H101"/>
    <mergeCell ref="I101:J101"/>
    <mergeCell ref="K101:L101"/>
    <mergeCell ref="P101:Q101"/>
    <mergeCell ref="R101:S101"/>
    <mergeCell ref="A100:E100"/>
    <mergeCell ref="F100:H100"/>
    <mergeCell ref="I100:J100"/>
    <mergeCell ref="K100:L100"/>
    <mergeCell ref="P100:Q100"/>
    <mergeCell ref="R100:S100"/>
    <mergeCell ref="A99:E99"/>
    <mergeCell ref="F99:H99"/>
    <mergeCell ref="I99:J99"/>
    <mergeCell ref="K99:L99"/>
    <mergeCell ref="P99:Q99"/>
    <mergeCell ref="R99:S99"/>
    <mergeCell ref="A98:E98"/>
    <mergeCell ref="F98:H98"/>
    <mergeCell ref="I98:J98"/>
    <mergeCell ref="K98:L98"/>
    <mergeCell ref="P98:Q98"/>
    <mergeCell ref="R98:S98"/>
    <mergeCell ref="A97:E97"/>
    <mergeCell ref="F97:H97"/>
    <mergeCell ref="I97:J97"/>
    <mergeCell ref="K97:L97"/>
    <mergeCell ref="P97:Q97"/>
    <mergeCell ref="R97:S97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2024-06-04T06:50:12Z</dcterms:created>
  <dcterms:modified xsi:type="dcterms:W3CDTF">2024-06-04T06:50:12Z</dcterms:modified>
  <cp:category/>
  <cp:version/>
  <cp:contentType/>
  <cp:contentStatus/>
</cp:coreProperties>
</file>