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<sst xmlns="http://schemas.openxmlformats.org/spreadsheetml/2006/main" count="794" uniqueCount="371">
  <si>
    <t xml:space="preserve">ИСПОЛНЕНИЕ РАСХОДНОЙ ЧАСТИ </t>
  </si>
  <si>
    <t/>
  </si>
  <si>
    <t>Коды</t>
  </si>
  <si>
    <t>на</t>
  </si>
  <si>
    <t>30.09.2022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</si>
  <si>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</si>
  <si>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</si>
  <si>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</si>
  <si>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</si>
  <si>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</si>
  <si>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</si>
  <si>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</si>
  <si>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</si>
  <si>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</si>
  <si>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</si>
  <si>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</si>
  <si>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</si>
  <si>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по=30.09.2022;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</si>
  <si>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</si>
  <si>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</si>
  <si>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</si>
  <si>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</si>
  <si>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</si>
  <si>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</si>
  <si>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</si>
  <si>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</si>
  <si>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</si>
  <si>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</si>
  <si>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</si>
  <si>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</si>
  <si>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</si>
  <si>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</si>
  <si>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</si>
  <si>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</si>
  <si>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</si>
  <si>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</si>
  <si>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</si>
  <si>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</si>
  <si>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90,23</t>
  </si>
  <si>
    <t>73,54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</si>
  <si>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</si>
  <si>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</si>
  <si>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99,27</t>
  </si>
  <si>
    <t>87,00</t>
  </si>
  <si>
    <t>650 0102 1900102030 000</t>
  </si>
  <si>
    <t>Глава муниципального образования</t>
  </si>
  <si>
    <t>86,89</t>
  </si>
  <si>
    <t>650 0102 1900102030 121</t>
  </si>
  <si>
    <t>Фонд оплаты труда и страховые взносы</t>
  </si>
  <si>
    <t>102,91</t>
  </si>
  <si>
    <t>90,49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</si>
  <si>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</si>
  <si>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</si>
  <si>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86,94</t>
  </si>
  <si>
    <t>74,95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</si>
  <si>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</si>
  <si>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</si>
  <si>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</si>
  <si>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</si>
  <si>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</si>
  <si>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</si>
  <si>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</si>
  <si>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91,57</t>
  </si>
  <si>
    <t>74,75</t>
  </si>
  <si>
    <t>650 0104 1900102040 000</t>
  </si>
  <si>
    <t>Обеспечение функций органов местного самоуправления (денежное содержание ДМС)</t>
  </si>
  <si>
    <t>94,07</t>
  </si>
  <si>
    <t>78,04</t>
  </si>
  <si>
    <t>650 0104 1900102040 121</t>
  </si>
  <si>
    <t>97,51</t>
  </si>
  <si>
    <t>79,61</t>
  </si>
  <si>
    <t>650 0104 1900102040 129</t>
  </si>
  <si>
    <t>83,36</t>
  </si>
  <si>
    <t>72,82</t>
  </si>
  <si>
    <t>650 0104 1900102050 000</t>
  </si>
  <si>
    <t>Обеспечение функций органов местного самоуправления (должности не отнесенные к ДМС)</t>
  </si>
  <si>
    <t>90,26</t>
  </si>
  <si>
    <t>68,30</t>
  </si>
  <si>
    <t>650 0104 1900102050 121</t>
  </si>
  <si>
    <t>93,42</t>
  </si>
  <si>
    <t>69,16</t>
  </si>
  <si>
    <t>650 0104 1900102050 129</t>
  </si>
  <si>
    <t>80,63</t>
  </si>
  <si>
    <t>65,44</t>
  </si>
  <si>
    <t>650 0104 1900102400 000</t>
  </si>
  <si>
    <t>Прочие мероприятия органов местного самоуправления</t>
  </si>
  <si>
    <t>52,36</t>
  </si>
  <si>
    <t>48,70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</si>
  <si>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</si>
  <si>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</si>
  <si>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</si>
  <si>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</si>
  <si>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</si>
  <si>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</si>
  <si>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</si>
  <si>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</si>
  <si>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</si>
  <si>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</si>
  <si>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</si>
  <si>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</si>
  <si>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</si>
  <si>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</si>
  <si>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</si>
  <si>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</si>
  <si>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</si>
  <si>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</si>
  <si>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82,27</t>
  </si>
  <si>
    <t>57,85</t>
  </si>
  <si>
    <t>650 0113 1900299990 000</t>
  </si>
  <si>
    <t>Реализация мероприятий</t>
  </si>
  <si>
    <t>88,65</t>
  </si>
  <si>
    <t>59,57</t>
  </si>
  <si>
    <t>650 0113 1900299990 244</t>
  </si>
  <si>
    <t>Прочая закупка товаров, работ и услуг для государственных (муниципальных) нужд</t>
  </si>
  <si>
    <t>88,80</t>
  </si>
  <si>
    <t>59,30</t>
  </si>
  <si>
    <t>650 0113 1900299990 247</t>
  </si>
  <si>
    <t>Закупка энергетических ресурсов</t>
  </si>
  <si>
    <t>88,18</t>
  </si>
  <si>
    <t>60,06</t>
  </si>
  <si>
    <t>650 0113 1900299990 851</t>
  </si>
  <si>
    <t>Уплата налога на имущество организаций и земельного налога</t>
  </si>
  <si>
    <t>85,85</t>
  </si>
  <si>
    <t>57,23</t>
  </si>
  <si>
    <t>650 0113 1900299990 852</t>
  </si>
  <si>
    <t>Уплата прочих налогов, сборов и иных платежей</t>
  </si>
  <si>
    <t>74,73</t>
  </si>
  <si>
    <t>58,71</t>
  </si>
  <si>
    <t>650 0113 1900299990 853</t>
  </si>
  <si>
    <t>Уплата иных платежей</t>
  </si>
  <si>
    <t>650 0113 2200199990 000</t>
  </si>
  <si>
    <t>65,56</t>
  </si>
  <si>
    <t>650 0113 2200199990 244</t>
  </si>
  <si>
    <t>650 0113 2200299990 000</t>
  </si>
  <si>
    <t>0,00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</si>
  <si>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</si>
  <si>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</si>
  <si>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</si>
  <si>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</si>
  <si>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95,55</t>
  </si>
  <si>
    <t>68,85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</si>
  <si>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</si>
  <si>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</si>
  <si>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</si>
  <si>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96,06</t>
  </si>
  <si>
    <t>69,22</t>
  </si>
  <si>
    <t>650 0203 7000051180 129</t>
  </si>
  <si>
    <t>93,85</t>
  </si>
  <si>
    <t>67,61</t>
  </si>
  <si>
    <t>650 0304 0000000000 000</t>
  </si>
  <si>
    <t>Органы юстиции</t>
  </si>
  <si>
    <t>94,00</t>
  </si>
  <si>
    <t>71,85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</si>
  <si>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</si>
  <si>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</si>
  <si>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91,96</t>
  </si>
  <si>
    <t>68,87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</si>
  <si>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</si>
  <si>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</si>
  <si>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</si>
  <si>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96,72</t>
  </si>
  <si>
    <t>76,01</t>
  </si>
  <si>
    <t>650 0304 70000D9300 129</t>
  </si>
  <si>
    <t>91,88</t>
  </si>
  <si>
    <t>68,82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</si>
  <si>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</si>
  <si>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</si>
  <si>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</si>
  <si>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</si>
  <si>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88,34</t>
  </si>
  <si>
    <t>88,06</t>
  </si>
  <si>
    <t>650 0310 1410199990 000</t>
  </si>
  <si>
    <t>64,97</t>
  </si>
  <si>
    <t>49,68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</si>
  <si>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</si>
  <si>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</si>
  <si>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</si>
  <si>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</si>
  <si>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</si>
  <si>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</si>
  <si>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</si>
  <si>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</si>
  <si>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</si>
  <si>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90,91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</si>
  <si>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</si>
  <si>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</si>
  <si>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</si>
  <si>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</si>
  <si>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</si>
  <si>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</si>
  <si>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</si>
  <si>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</si>
  <si>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</si>
  <si>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</si>
  <si>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</si>
  <si>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</si>
  <si>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</si>
  <si>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</si>
  <si>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91,77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</si>
  <si>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</si>
  <si>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</si>
  <si>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</si>
  <si>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</si>
  <si>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</si>
  <si>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</si>
  <si>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</si>
  <si>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</si>
  <si>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</si>
  <si>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</si>
  <si>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</si>
  <si>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</si>
  <si>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</si>
  <si>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</si>
  <si>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</si>
  <si>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</si>
  <si>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98,96</t>
  </si>
  <si>
    <t>68,55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</si>
  <si>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</si>
  <si>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</si>
  <si>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85,87</t>
  </si>
  <si>
    <t>64,40</t>
  </si>
  <si>
    <t>650 0409 1830189010 244</t>
  </si>
  <si>
    <t>650 0409 7000099990 000</t>
  </si>
  <si>
    <t>99,59</t>
  </si>
  <si>
    <t>68,74</t>
  </si>
  <si>
    <t>650 0409 7000099990 244</t>
  </si>
  <si>
    <t>650 0410 0000000000 000</t>
  </si>
  <si>
    <t>Связь и информатика</t>
  </si>
  <si>
    <t>73,53</t>
  </si>
  <si>
    <t>53,04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</si>
  <si>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</si>
  <si>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</si>
  <si>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</si>
  <si>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</si>
  <si>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</si>
  <si>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90,35</t>
  </si>
  <si>
    <t>59,47</t>
  </si>
  <si>
    <t>650 0412 1600199990 000</t>
  </si>
  <si>
    <t>650 0412 1600199990 244</t>
  </si>
  <si>
    <t>650 0412 2200199990 000</t>
  </si>
  <si>
    <t>650 0412 2200199990 244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</si>
  <si>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</si>
  <si>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</si>
  <si>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</si>
  <si>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</si>
  <si>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</si>
  <si>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99,43</t>
  </si>
  <si>
    <t>75,00</t>
  </si>
  <si>
    <t>650 0412 7000089020 540</t>
  </si>
  <si>
    <t>650 0501 0000000000 000</t>
  </si>
  <si>
    <t>Жилищное хозяйство</t>
  </si>
  <si>
    <t>72,87</t>
  </si>
  <si>
    <t>65,87</t>
  </si>
  <si>
    <t>650 0501 1100199990 000</t>
  </si>
  <si>
    <t>650 0501 1100199990 244</t>
  </si>
  <si>
    <t>650 0501 2200199990 000</t>
  </si>
  <si>
    <t>50,45</t>
  </si>
  <si>
    <t>650 0501 2200199990 244</t>
  </si>
  <si>
    <t>650 0501 2200299990 000</t>
  </si>
  <si>
    <t>87,78</t>
  </si>
  <si>
    <t>62,91</t>
  </si>
  <si>
    <t>650 0501 2200299990 244</t>
  </si>
  <si>
    <t>650 0502 0000000000 000</t>
  </si>
  <si>
    <t>Коммунальное хозяйство</t>
  </si>
  <si>
    <t>95,52</t>
  </si>
  <si>
    <t>94,99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</si>
  <si>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</si>
  <si>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</si>
  <si>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</si>
  <si>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</si>
  <si>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</si>
  <si>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96,28</t>
  </si>
  <si>
    <t>95,72</t>
  </si>
  <si>
    <t>650 0503 0000000000 000</t>
  </si>
  <si>
    <t>Благоустройство</t>
  </si>
  <si>
    <t>79,54</t>
  </si>
  <si>
    <t>72,56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</si>
  <si>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</si>
  <si>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</si>
  <si>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</si>
  <si>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650 0503 1210185160 000</t>
  </si>
  <si>
    <t>Расходы на финансирование наказов избирателей депутатам Думы Ханты-Мансийского автономного округа-Югры</t>
  </si>
  <si>
    <t>650 0503 1210185160 244</t>
  </si>
  <si>
    <t>650 0503 1210199990 000</t>
  </si>
  <si>
    <t>93,63</t>
  </si>
  <si>
    <t>90,19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</si>
  <si>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</si>
  <si>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</si>
  <si>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</si>
  <si>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</si>
  <si>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</si>
  <si>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98,03</t>
  </si>
  <si>
    <t>87,51</t>
  </si>
  <si>
    <t>650 0503 1210299990 244</t>
  </si>
  <si>
    <t>650 0503 1210399990 000</t>
  </si>
  <si>
    <t>83,87</t>
  </si>
  <si>
    <t>59,89</t>
  </si>
  <si>
    <t>650 0503 1210399990 244</t>
  </si>
  <si>
    <t>650 0503 1210499990 000</t>
  </si>
  <si>
    <t>85,71</t>
  </si>
  <si>
    <t>68,37</t>
  </si>
  <si>
    <t>650 0503 1210499990 244</t>
  </si>
  <si>
    <t>91,37</t>
  </si>
  <si>
    <t>88,88</t>
  </si>
  <si>
    <t>650 0503 1210499990 247</t>
  </si>
  <si>
    <t>79,77</t>
  </si>
  <si>
    <t>53,54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</si>
  <si>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</si>
  <si>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</si>
  <si>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</si>
  <si>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</si>
  <si>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</si>
  <si>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</si>
  <si>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</si>
  <si>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</si>
  <si>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</si>
  <si>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</si>
  <si>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</si>
  <si>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</si>
  <si>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</si>
  <si>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</si>
  <si>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</si>
  <si>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</si>
  <si>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</si>
  <si>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</si>
  <si>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96,43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</si>
  <si>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</si>
  <si>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</si>
  <si>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96,19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</si>
  <si>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</si>
  <si>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</si>
  <si>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</si>
  <si>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</si>
  <si>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</si>
  <si>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</si>
  <si>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76,70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</si>
  <si>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</si>
  <si>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</si>
  <si>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79,74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</si>
  <si>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</si>
  <si>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</si>
  <si>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</si>
  <si>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</si>
  <si>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</si>
  <si>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</si>
  <si>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</si>
  <si>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</si>
  <si>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</si>
  <si>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</si>
  <si>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93,60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</si>
  <si>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</si>
  <si>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</si>
  <si>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</si>
  <si>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</si>
  <si>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</si>
  <si>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</si>
  <si>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</si>
  <si>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</si>
  <si>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91,44</t>
  </si>
  <si>
    <t>68,58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</si>
  <si>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</si>
  <si>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</si>
  <si>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</si>
  <si>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</si>
  <si>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</si>
  <si>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75,82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</si>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</sst>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PageLayoutView="0" workbookViewId="0" topLeftCell="A1">
      <selection activeCell="X181" sqref="X18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44834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122947066.32</f>
        <v>122947066.32</v>
      </c>
      <c r="J15" s="24"/>
      <c r="K15" s="25">
        <f>150847418.67</f>
        <v>150847418.67</v>
      </c>
      <c r="L15" s="25"/>
      <c r="M15" s="12">
        <f>110929737.22</f>
        <v>110929737.22</v>
      </c>
      <c r="N15" s="13" t="s">
        <v>38</v>
      </c>
      <c r="O15" s="14" t="s">
        <v>39</v>
      </c>
      <c r="P15" s="24">
        <f>12017329.1</f>
        <v>12017329.1</v>
      </c>
      <c r="Q15" s="24"/>
      <c r="R15" s="28">
        <f>39917681.45</f>
        <v>39917681.45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1684922.48</f>
        <v>1684922.48</v>
      </c>
      <c r="J16" s="24"/>
      <c r="K16" s="25">
        <f>1922646</f>
        <v>1922646</v>
      </c>
      <c r="L16" s="25"/>
      <c r="M16" s="12">
        <f>1672679.7</f>
        <v>1672679.7</v>
      </c>
      <c r="N16" s="13" t="s">
        <v>42</v>
      </c>
      <c r="O16" s="14" t="s">
        <v>43</v>
      </c>
      <c r="P16" s="24">
        <f>12242.78</f>
        <v>12242.78</v>
      </c>
      <c r="Q16" s="24"/>
      <c r="R16" s="28">
        <f>249966.3</f>
        <v>249966.3</v>
      </c>
      <c r="S16" s="28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1668776.48</f>
        <v>1668776.48</v>
      </c>
      <c r="J17" s="24"/>
      <c r="K17" s="25">
        <f>1906500</f>
        <v>1906500</v>
      </c>
      <c r="L17" s="25"/>
      <c r="M17" s="12">
        <f>1656533.7</f>
        <v>1656533.7</v>
      </c>
      <c r="N17" s="13" t="s">
        <v>42</v>
      </c>
      <c r="O17" s="14" t="s">
        <v>46</v>
      </c>
      <c r="P17" s="24">
        <f>12242.78</f>
        <v>12242.78</v>
      </c>
      <c r="Q17" s="24"/>
      <c r="R17" s="28">
        <f>249966.3</f>
        <v>249966.3</v>
      </c>
      <c r="S17" s="28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1287576.48</f>
        <v>1287576.48</v>
      </c>
      <c r="J18" s="24"/>
      <c r="K18" s="25">
        <f>1464300</f>
        <v>1464300</v>
      </c>
      <c r="L18" s="25"/>
      <c r="M18" s="12">
        <f>1325106.75</f>
        <v>1325106.75</v>
      </c>
      <c r="N18" s="13" t="s">
        <v>49</v>
      </c>
      <c r="O18" s="14" t="s">
        <v>50</v>
      </c>
      <c r="P18" s="24">
        <f>-37530.27</f>
        <v>-37530.27</v>
      </c>
      <c r="Q18" s="24"/>
      <c r="R18" s="28">
        <f>139193.25</f>
        <v>139193.25</v>
      </c>
      <c r="S18" s="28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381200</f>
        <v>381200</v>
      </c>
      <c r="J19" s="24"/>
      <c r="K19" s="25">
        <f>442200</f>
        <v>442200</v>
      </c>
      <c r="L19" s="25"/>
      <c r="M19" s="12">
        <f>331426.95</f>
        <v>331426.95</v>
      </c>
      <c r="N19" s="13" t="s">
        <v>53</v>
      </c>
      <c r="O19" s="14" t="s">
        <v>54</v>
      </c>
      <c r="P19" s="24">
        <f>49773.05</f>
        <v>49773.05</v>
      </c>
      <c r="Q19" s="24"/>
      <c r="R19" s="28">
        <f>110773.05</f>
        <v>110773.05</v>
      </c>
      <c r="S19" s="28"/>
    </row>
    <row r="20" spans="1:19" s="1" customFormat="1" ht="54.7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16146</f>
        <v>16146</v>
      </c>
      <c r="J20" s="24"/>
      <c r="K20" s="25">
        <f>16146</f>
        <v>16146</v>
      </c>
      <c r="L20" s="25"/>
      <c r="M20" s="12">
        <f>16146</f>
        <v>16146</v>
      </c>
      <c r="N20" s="13" t="s">
        <v>57</v>
      </c>
      <c r="O20" s="14" t="s">
        <v>57</v>
      </c>
      <c r="P20" s="26" t="s">
        <v>1</v>
      </c>
      <c r="Q20" s="26"/>
      <c r="R20" s="27" t="s">
        <v>1</v>
      </c>
      <c r="S20" s="27"/>
    </row>
    <row r="21" spans="1:19" s="1" customFormat="1" ht="13.5" customHeight="1">
      <c r="A21" s="22" t="s">
        <v>58</v>
      </c>
      <c r="B21" s="22"/>
      <c r="C21" s="22"/>
      <c r="D21" s="22"/>
      <c r="E21" s="22"/>
      <c r="F21" s="23" t="s">
        <v>48</v>
      </c>
      <c r="G21" s="23"/>
      <c r="H21" s="23"/>
      <c r="I21" s="24">
        <f>12420</f>
        <v>12420</v>
      </c>
      <c r="J21" s="24"/>
      <c r="K21" s="25">
        <f>12420</f>
        <v>12420</v>
      </c>
      <c r="L21" s="25"/>
      <c r="M21" s="12">
        <f>12420</f>
        <v>12420</v>
      </c>
      <c r="N21" s="13" t="s">
        <v>57</v>
      </c>
      <c r="O21" s="14" t="s">
        <v>57</v>
      </c>
      <c r="P21" s="26" t="s">
        <v>1</v>
      </c>
      <c r="Q21" s="26"/>
      <c r="R21" s="27" t="s">
        <v>1</v>
      </c>
      <c r="S21" s="27"/>
    </row>
    <row r="22" spans="1:19" s="1" customFormat="1" ht="45" customHeight="1">
      <c r="A22" s="22" t="s">
        <v>59</v>
      </c>
      <c r="B22" s="22"/>
      <c r="C22" s="22"/>
      <c r="D22" s="22"/>
      <c r="E22" s="22"/>
      <c r="F22" s="23" t="s">
        <v>52</v>
      </c>
      <c r="G22" s="23"/>
      <c r="H22" s="23"/>
      <c r="I22" s="24">
        <f>3726</f>
        <v>3726</v>
      </c>
      <c r="J22" s="24"/>
      <c r="K22" s="25">
        <f>3726</f>
        <v>3726</v>
      </c>
      <c r="L22" s="25"/>
      <c r="M22" s="12">
        <f>3726</f>
        <v>3726</v>
      </c>
      <c r="N22" s="13" t="s">
        <v>57</v>
      </c>
      <c r="O22" s="14" t="s">
        <v>57</v>
      </c>
      <c r="P22" s="26" t="s">
        <v>1</v>
      </c>
      <c r="Q22" s="26"/>
      <c r="R22" s="27" t="s">
        <v>1</v>
      </c>
      <c r="S22" s="27"/>
    </row>
    <row r="23" spans="1:19" s="1" customFormat="1" ht="45" customHeight="1">
      <c r="A23" s="22" t="s">
        <v>60</v>
      </c>
      <c r="B23" s="22"/>
      <c r="C23" s="22"/>
      <c r="D23" s="22"/>
      <c r="E23" s="22"/>
      <c r="F23" s="23" t="s">
        <v>61</v>
      </c>
      <c r="G23" s="23"/>
      <c r="H23" s="23"/>
      <c r="I23" s="24">
        <f>20484224</f>
        <v>20484224</v>
      </c>
      <c r="J23" s="24"/>
      <c r="K23" s="25">
        <f>25093704</f>
        <v>25093704</v>
      </c>
      <c r="L23" s="25"/>
      <c r="M23" s="12">
        <f>18757954.57</f>
        <v>18757954.57</v>
      </c>
      <c r="N23" s="13" t="s">
        <v>62</v>
      </c>
      <c r="O23" s="14" t="s">
        <v>63</v>
      </c>
      <c r="P23" s="24">
        <f>1726269.43</f>
        <v>1726269.43</v>
      </c>
      <c r="Q23" s="24"/>
      <c r="R23" s="28">
        <f>6335749.43</f>
        <v>6335749.43</v>
      </c>
      <c r="S23" s="28"/>
    </row>
    <row r="24" spans="1:19" s="1" customFormat="1" ht="24" customHeight="1">
      <c r="A24" s="22" t="s">
        <v>64</v>
      </c>
      <c r="B24" s="22"/>
      <c r="C24" s="22"/>
      <c r="D24" s="22"/>
      <c r="E24" s="22"/>
      <c r="F24" s="23" t="s">
        <v>65</v>
      </c>
      <c r="G24" s="23"/>
      <c r="H24" s="23"/>
      <c r="I24" s="24">
        <f>14208220</f>
        <v>14208220</v>
      </c>
      <c r="J24" s="24"/>
      <c r="K24" s="25">
        <f>17126200</f>
        <v>17126200</v>
      </c>
      <c r="L24" s="25"/>
      <c r="M24" s="12">
        <f>13365596.56</f>
        <v>13365596.56</v>
      </c>
      <c r="N24" s="13" t="s">
        <v>66</v>
      </c>
      <c r="O24" s="14" t="s">
        <v>67</v>
      </c>
      <c r="P24" s="24">
        <f>842623.44</f>
        <v>842623.44</v>
      </c>
      <c r="Q24" s="24"/>
      <c r="R24" s="28">
        <f>3760603.44</f>
        <v>3760603.44</v>
      </c>
      <c r="S24" s="28"/>
    </row>
    <row r="25" spans="1:19" s="1" customFormat="1" ht="13.5" customHeight="1">
      <c r="A25" s="22" t="s">
        <v>68</v>
      </c>
      <c r="B25" s="22"/>
      <c r="C25" s="22"/>
      <c r="D25" s="22"/>
      <c r="E25" s="22"/>
      <c r="F25" s="23" t="s">
        <v>48</v>
      </c>
      <c r="G25" s="23"/>
      <c r="H25" s="23"/>
      <c r="I25" s="24">
        <f>10752020</f>
        <v>10752020</v>
      </c>
      <c r="J25" s="24"/>
      <c r="K25" s="25">
        <f>13170000</f>
        <v>13170000</v>
      </c>
      <c r="L25" s="25"/>
      <c r="M25" s="12">
        <f>10484505.1</f>
        <v>10484505.1</v>
      </c>
      <c r="N25" s="13" t="s">
        <v>69</v>
      </c>
      <c r="O25" s="14" t="s">
        <v>70</v>
      </c>
      <c r="P25" s="24">
        <f>267514.9</f>
        <v>267514.9</v>
      </c>
      <c r="Q25" s="24"/>
      <c r="R25" s="28">
        <f>2685494.9</f>
        <v>2685494.9</v>
      </c>
      <c r="S25" s="28"/>
    </row>
    <row r="26" spans="1:19" s="1" customFormat="1" ht="45" customHeight="1">
      <c r="A26" s="22" t="s">
        <v>71</v>
      </c>
      <c r="B26" s="22"/>
      <c r="C26" s="22"/>
      <c r="D26" s="22"/>
      <c r="E26" s="22"/>
      <c r="F26" s="23" t="s">
        <v>52</v>
      </c>
      <c r="G26" s="23"/>
      <c r="H26" s="23"/>
      <c r="I26" s="24">
        <f>3456200</f>
        <v>3456200</v>
      </c>
      <c r="J26" s="24"/>
      <c r="K26" s="25">
        <f>3956200</f>
        <v>3956200</v>
      </c>
      <c r="L26" s="25"/>
      <c r="M26" s="12">
        <f>2881091.46</f>
        <v>2881091.46</v>
      </c>
      <c r="N26" s="13" t="s">
        <v>72</v>
      </c>
      <c r="O26" s="14" t="s">
        <v>73</v>
      </c>
      <c r="P26" s="24">
        <f>575108.54</f>
        <v>575108.54</v>
      </c>
      <c r="Q26" s="24"/>
      <c r="R26" s="28">
        <f>1075108.54</f>
        <v>1075108.54</v>
      </c>
      <c r="S26" s="28"/>
    </row>
    <row r="27" spans="1:19" s="1" customFormat="1" ht="24" customHeight="1">
      <c r="A27" s="22" t="s">
        <v>74</v>
      </c>
      <c r="B27" s="22"/>
      <c r="C27" s="22"/>
      <c r="D27" s="22"/>
      <c r="E27" s="22"/>
      <c r="F27" s="23" t="s">
        <v>75</v>
      </c>
      <c r="G27" s="23"/>
      <c r="H27" s="23"/>
      <c r="I27" s="24">
        <f>5070000</f>
        <v>5070000</v>
      </c>
      <c r="J27" s="24"/>
      <c r="K27" s="25">
        <f>6700000</f>
        <v>6700000</v>
      </c>
      <c r="L27" s="25"/>
      <c r="M27" s="12">
        <f>4576307.25</f>
        <v>4576307.25</v>
      </c>
      <c r="N27" s="13" t="s">
        <v>76</v>
      </c>
      <c r="O27" s="14" t="s">
        <v>77</v>
      </c>
      <c r="P27" s="24">
        <f>493692.75</f>
        <v>493692.75</v>
      </c>
      <c r="Q27" s="24"/>
      <c r="R27" s="28">
        <f>2123692.75</f>
        <v>2123692.75</v>
      </c>
      <c r="S27" s="28"/>
    </row>
    <row r="28" spans="1:19" s="1" customFormat="1" ht="13.5" customHeight="1">
      <c r="A28" s="22" t="s">
        <v>78</v>
      </c>
      <c r="B28" s="22"/>
      <c r="C28" s="22"/>
      <c r="D28" s="22"/>
      <c r="E28" s="22"/>
      <c r="F28" s="23" t="s">
        <v>48</v>
      </c>
      <c r="G28" s="23"/>
      <c r="H28" s="23"/>
      <c r="I28" s="24">
        <f>3820000</f>
        <v>3820000</v>
      </c>
      <c r="J28" s="24"/>
      <c r="K28" s="25">
        <f>5160000</f>
        <v>5160000</v>
      </c>
      <c r="L28" s="25"/>
      <c r="M28" s="12">
        <f>3568481.3</f>
        <v>3568481.3</v>
      </c>
      <c r="N28" s="13" t="s">
        <v>79</v>
      </c>
      <c r="O28" s="14" t="s">
        <v>80</v>
      </c>
      <c r="P28" s="24">
        <f>251518.7</f>
        <v>251518.7</v>
      </c>
      <c r="Q28" s="24"/>
      <c r="R28" s="28">
        <f>1591518.7</f>
        <v>1591518.7</v>
      </c>
      <c r="S28" s="28"/>
    </row>
    <row r="29" spans="1:19" s="1" customFormat="1" ht="45" customHeight="1">
      <c r="A29" s="22" t="s">
        <v>81</v>
      </c>
      <c r="B29" s="22"/>
      <c r="C29" s="22"/>
      <c r="D29" s="22"/>
      <c r="E29" s="22"/>
      <c r="F29" s="23" t="s">
        <v>52</v>
      </c>
      <c r="G29" s="23"/>
      <c r="H29" s="23"/>
      <c r="I29" s="24">
        <f>1250000</f>
        <v>1250000</v>
      </c>
      <c r="J29" s="24"/>
      <c r="K29" s="25">
        <f>1540000</f>
        <v>1540000</v>
      </c>
      <c r="L29" s="25"/>
      <c r="M29" s="12">
        <f>1007825.95</f>
        <v>1007825.95</v>
      </c>
      <c r="N29" s="13" t="s">
        <v>82</v>
      </c>
      <c r="O29" s="14" t="s">
        <v>83</v>
      </c>
      <c r="P29" s="24">
        <f>242174.05</f>
        <v>242174.05</v>
      </c>
      <c r="Q29" s="24"/>
      <c r="R29" s="28">
        <f>532174.05</f>
        <v>532174.05</v>
      </c>
      <c r="S29" s="28"/>
    </row>
    <row r="30" spans="1:19" s="1" customFormat="1" ht="24" customHeight="1">
      <c r="A30" s="22" t="s">
        <v>84</v>
      </c>
      <c r="B30" s="22"/>
      <c r="C30" s="22"/>
      <c r="D30" s="22"/>
      <c r="E30" s="22"/>
      <c r="F30" s="23" t="s">
        <v>85</v>
      </c>
      <c r="G30" s="23"/>
      <c r="H30" s="23"/>
      <c r="I30" s="24">
        <f>818500</f>
        <v>818500</v>
      </c>
      <c r="J30" s="24"/>
      <c r="K30" s="25">
        <f>880000</f>
        <v>880000</v>
      </c>
      <c r="L30" s="25"/>
      <c r="M30" s="12">
        <f>428546.76</f>
        <v>428546.76</v>
      </c>
      <c r="N30" s="13" t="s">
        <v>86</v>
      </c>
      <c r="O30" s="14" t="s">
        <v>87</v>
      </c>
      <c r="P30" s="24">
        <f>389953.24</f>
        <v>389953.24</v>
      </c>
      <c r="Q30" s="24"/>
      <c r="R30" s="28">
        <f>451453.24</f>
        <v>451453.24</v>
      </c>
      <c r="S30" s="28"/>
    </row>
    <row r="31" spans="1:19" s="1" customFormat="1" ht="24" customHeight="1">
      <c r="A31" s="22" t="s">
        <v>88</v>
      </c>
      <c r="B31" s="22"/>
      <c r="C31" s="22"/>
      <c r="D31" s="22"/>
      <c r="E31" s="22"/>
      <c r="F31" s="23" t="s">
        <v>89</v>
      </c>
      <c r="G31" s="23"/>
      <c r="H31" s="23"/>
      <c r="I31" s="24">
        <f>818500</f>
        <v>818500</v>
      </c>
      <c r="J31" s="24"/>
      <c r="K31" s="25">
        <f>880000</f>
        <v>880000</v>
      </c>
      <c r="L31" s="25"/>
      <c r="M31" s="12">
        <f>428546.76</f>
        <v>428546.76</v>
      </c>
      <c r="N31" s="13" t="s">
        <v>86</v>
      </c>
      <c r="O31" s="14" t="s">
        <v>87</v>
      </c>
      <c r="P31" s="24">
        <f>389953.24</f>
        <v>389953.24</v>
      </c>
      <c r="Q31" s="24"/>
      <c r="R31" s="28">
        <f>451453.24</f>
        <v>451453.24</v>
      </c>
      <c r="S31" s="28"/>
    </row>
    <row r="32" spans="1:19" s="1" customFormat="1" ht="54.75" customHeight="1">
      <c r="A32" s="22" t="s">
        <v>90</v>
      </c>
      <c r="B32" s="22"/>
      <c r="C32" s="22"/>
      <c r="D32" s="22"/>
      <c r="E32" s="22"/>
      <c r="F32" s="23" t="s">
        <v>91</v>
      </c>
      <c r="G32" s="23"/>
      <c r="H32" s="23"/>
      <c r="I32" s="24">
        <f>274482</f>
        <v>274482</v>
      </c>
      <c r="J32" s="24"/>
      <c r="K32" s="25">
        <f>274482</f>
        <v>274482</v>
      </c>
      <c r="L32" s="25"/>
      <c r="M32" s="12">
        <f>274482</f>
        <v>274482</v>
      </c>
      <c r="N32" s="13" t="s">
        <v>57</v>
      </c>
      <c r="O32" s="14" t="s">
        <v>57</v>
      </c>
      <c r="P32" s="26" t="s">
        <v>1</v>
      </c>
      <c r="Q32" s="26"/>
      <c r="R32" s="27" t="s">
        <v>1</v>
      </c>
      <c r="S32" s="27"/>
    </row>
    <row r="33" spans="1:19" s="1" customFormat="1" ht="13.5" customHeight="1">
      <c r="A33" s="22" t="s">
        <v>92</v>
      </c>
      <c r="B33" s="22"/>
      <c r="C33" s="22"/>
      <c r="D33" s="22"/>
      <c r="E33" s="22"/>
      <c r="F33" s="23" t="s">
        <v>48</v>
      </c>
      <c r="G33" s="23"/>
      <c r="H33" s="23"/>
      <c r="I33" s="24">
        <f>211140</f>
        <v>211140</v>
      </c>
      <c r="J33" s="24"/>
      <c r="K33" s="25">
        <f>211140</f>
        <v>211140</v>
      </c>
      <c r="L33" s="25"/>
      <c r="M33" s="12">
        <f>211140</f>
        <v>211140</v>
      </c>
      <c r="N33" s="13" t="s">
        <v>57</v>
      </c>
      <c r="O33" s="14" t="s">
        <v>57</v>
      </c>
      <c r="P33" s="26" t="s">
        <v>1</v>
      </c>
      <c r="Q33" s="26"/>
      <c r="R33" s="27" t="s">
        <v>1</v>
      </c>
      <c r="S33" s="27"/>
    </row>
    <row r="34" spans="1:19" s="1" customFormat="1" ht="45" customHeight="1">
      <c r="A34" s="22" t="s">
        <v>93</v>
      </c>
      <c r="B34" s="22"/>
      <c r="C34" s="22"/>
      <c r="D34" s="22"/>
      <c r="E34" s="22"/>
      <c r="F34" s="23" t="s">
        <v>52</v>
      </c>
      <c r="G34" s="23"/>
      <c r="H34" s="23"/>
      <c r="I34" s="24">
        <f>63342</f>
        <v>63342</v>
      </c>
      <c r="J34" s="24"/>
      <c r="K34" s="25">
        <f>63342</f>
        <v>63342</v>
      </c>
      <c r="L34" s="25"/>
      <c r="M34" s="12">
        <f>63342</f>
        <v>63342</v>
      </c>
      <c r="N34" s="13" t="s">
        <v>57</v>
      </c>
      <c r="O34" s="14" t="s">
        <v>57</v>
      </c>
      <c r="P34" s="26" t="s">
        <v>1</v>
      </c>
      <c r="Q34" s="26"/>
      <c r="R34" s="27" t="s">
        <v>1</v>
      </c>
      <c r="S34" s="27"/>
    </row>
    <row r="35" spans="1:19" s="1" customFormat="1" ht="66" customHeight="1">
      <c r="A35" s="22" t="s">
        <v>94</v>
      </c>
      <c r="B35" s="22"/>
      <c r="C35" s="22"/>
      <c r="D35" s="22"/>
      <c r="E35" s="22"/>
      <c r="F35" s="23" t="s">
        <v>95</v>
      </c>
      <c r="G35" s="23"/>
      <c r="H35" s="23"/>
      <c r="I35" s="24">
        <f>113022</f>
        <v>113022</v>
      </c>
      <c r="J35" s="24"/>
      <c r="K35" s="25">
        <f>113022</f>
        <v>113022</v>
      </c>
      <c r="L35" s="25"/>
      <c r="M35" s="12">
        <f>113022</f>
        <v>113022</v>
      </c>
      <c r="N35" s="13" t="s">
        <v>57</v>
      </c>
      <c r="O35" s="14" t="s">
        <v>57</v>
      </c>
      <c r="P35" s="26" t="s">
        <v>1</v>
      </c>
      <c r="Q35" s="26"/>
      <c r="R35" s="27" t="s">
        <v>1</v>
      </c>
      <c r="S35" s="27"/>
    </row>
    <row r="36" spans="1:19" s="1" customFormat="1" ht="13.5" customHeight="1">
      <c r="A36" s="22" t="s">
        <v>96</v>
      </c>
      <c r="B36" s="22"/>
      <c r="C36" s="22"/>
      <c r="D36" s="22"/>
      <c r="E36" s="22"/>
      <c r="F36" s="23" t="s">
        <v>48</v>
      </c>
      <c r="G36" s="23"/>
      <c r="H36" s="23"/>
      <c r="I36" s="24">
        <f>86940</f>
        <v>86940</v>
      </c>
      <c r="J36" s="24"/>
      <c r="K36" s="25">
        <f>86940</f>
        <v>86940</v>
      </c>
      <c r="L36" s="25"/>
      <c r="M36" s="12">
        <f>86940</f>
        <v>86940</v>
      </c>
      <c r="N36" s="13" t="s">
        <v>57</v>
      </c>
      <c r="O36" s="14" t="s">
        <v>57</v>
      </c>
      <c r="P36" s="26" t="s">
        <v>1</v>
      </c>
      <c r="Q36" s="26"/>
      <c r="R36" s="27" t="s">
        <v>1</v>
      </c>
      <c r="S36" s="27"/>
    </row>
    <row r="37" spans="1:19" s="1" customFormat="1" ht="45" customHeight="1">
      <c r="A37" s="22" t="s">
        <v>97</v>
      </c>
      <c r="B37" s="22"/>
      <c r="C37" s="22"/>
      <c r="D37" s="22"/>
      <c r="E37" s="22"/>
      <c r="F37" s="23" t="s">
        <v>52</v>
      </c>
      <c r="G37" s="23"/>
      <c r="H37" s="23"/>
      <c r="I37" s="24">
        <f>26082</f>
        <v>26082</v>
      </c>
      <c r="J37" s="24"/>
      <c r="K37" s="25">
        <f>26082</f>
        <v>26082</v>
      </c>
      <c r="L37" s="25"/>
      <c r="M37" s="12">
        <f>26082</f>
        <v>26082</v>
      </c>
      <c r="N37" s="13" t="s">
        <v>57</v>
      </c>
      <c r="O37" s="14" t="s">
        <v>57</v>
      </c>
      <c r="P37" s="26" t="s">
        <v>1</v>
      </c>
      <c r="Q37" s="26"/>
      <c r="R37" s="27" t="s">
        <v>1</v>
      </c>
      <c r="S37" s="27"/>
    </row>
    <row r="38" spans="1:19" s="1" customFormat="1" ht="33.75" customHeight="1">
      <c r="A38" s="22" t="s">
        <v>98</v>
      </c>
      <c r="B38" s="22"/>
      <c r="C38" s="22"/>
      <c r="D38" s="22"/>
      <c r="E38" s="22"/>
      <c r="F38" s="23" t="s">
        <v>99</v>
      </c>
      <c r="G38" s="23"/>
      <c r="H38" s="23"/>
      <c r="I38" s="24">
        <f>50745</f>
        <v>50745</v>
      </c>
      <c r="J38" s="24"/>
      <c r="K38" s="25">
        <f>50745</f>
        <v>50745</v>
      </c>
      <c r="L38" s="25"/>
      <c r="M38" s="12">
        <f>50745</f>
        <v>50745</v>
      </c>
      <c r="N38" s="13" t="s">
        <v>57</v>
      </c>
      <c r="O38" s="14" t="s">
        <v>57</v>
      </c>
      <c r="P38" s="26" t="s">
        <v>1</v>
      </c>
      <c r="Q38" s="26"/>
      <c r="R38" s="27" t="s">
        <v>1</v>
      </c>
      <c r="S38" s="27"/>
    </row>
    <row r="39" spans="1:19" s="1" customFormat="1" ht="66" customHeight="1">
      <c r="A39" s="22" t="s">
        <v>100</v>
      </c>
      <c r="B39" s="22"/>
      <c r="C39" s="22"/>
      <c r="D39" s="22"/>
      <c r="E39" s="22"/>
      <c r="F39" s="23" t="s">
        <v>101</v>
      </c>
      <c r="G39" s="23"/>
      <c r="H39" s="23"/>
      <c r="I39" s="24">
        <f>50745</f>
        <v>50745</v>
      </c>
      <c r="J39" s="24"/>
      <c r="K39" s="25">
        <f>50745</f>
        <v>50745</v>
      </c>
      <c r="L39" s="25"/>
      <c r="M39" s="12">
        <f>50745</f>
        <v>50745</v>
      </c>
      <c r="N39" s="13" t="s">
        <v>57</v>
      </c>
      <c r="O39" s="14" t="s">
        <v>57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102</v>
      </c>
      <c r="B40" s="22"/>
      <c r="C40" s="22"/>
      <c r="D40" s="22"/>
      <c r="E40" s="22"/>
      <c r="F40" s="23" t="s">
        <v>103</v>
      </c>
      <c r="G40" s="23"/>
      <c r="H40" s="23"/>
      <c r="I40" s="24">
        <f>50745</f>
        <v>50745</v>
      </c>
      <c r="J40" s="24"/>
      <c r="K40" s="25">
        <f>50745</f>
        <v>50745</v>
      </c>
      <c r="L40" s="25"/>
      <c r="M40" s="12">
        <f>50745</f>
        <v>50745</v>
      </c>
      <c r="N40" s="13" t="s">
        <v>57</v>
      </c>
      <c r="O40" s="14" t="s">
        <v>57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104</v>
      </c>
      <c r="B41" s="22"/>
      <c r="C41" s="22"/>
      <c r="D41" s="22"/>
      <c r="E41" s="22"/>
      <c r="F41" s="23" t="s">
        <v>105</v>
      </c>
      <c r="G41" s="23"/>
      <c r="H41" s="23"/>
      <c r="I41" s="24">
        <f>2993357.97</f>
        <v>2993357.97</v>
      </c>
      <c r="J41" s="24"/>
      <c r="K41" s="25">
        <f>4256757.97</f>
        <v>4256757.97</v>
      </c>
      <c r="L41" s="25"/>
      <c r="M41" s="12">
        <f>2462737.6</f>
        <v>2462737.6</v>
      </c>
      <c r="N41" s="13" t="s">
        <v>106</v>
      </c>
      <c r="O41" s="14" t="s">
        <v>107</v>
      </c>
      <c r="P41" s="24">
        <f>530620.37</f>
        <v>530620.37</v>
      </c>
      <c r="Q41" s="24"/>
      <c r="R41" s="28">
        <f>1794020.37</f>
        <v>1794020.37</v>
      </c>
      <c r="S41" s="28"/>
    </row>
    <row r="42" spans="1:19" s="1" customFormat="1" ht="13.5" customHeight="1">
      <c r="A42" s="22" t="s">
        <v>108</v>
      </c>
      <c r="B42" s="22"/>
      <c r="C42" s="22"/>
      <c r="D42" s="22"/>
      <c r="E42" s="22"/>
      <c r="F42" s="23" t="s">
        <v>109</v>
      </c>
      <c r="G42" s="23"/>
      <c r="H42" s="23"/>
      <c r="I42" s="24">
        <f>2578357.97</f>
        <v>2578357.97</v>
      </c>
      <c r="J42" s="24"/>
      <c r="K42" s="25">
        <f>3836757.97</f>
        <v>3836757.97</v>
      </c>
      <c r="L42" s="25"/>
      <c r="M42" s="12">
        <f>2285722.3</f>
        <v>2285722.3</v>
      </c>
      <c r="N42" s="13" t="s">
        <v>110</v>
      </c>
      <c r="O42" s="14" t="s">
        <v>111</v>
      </c>
      <c r="P42" s="24">
        <f>292635.67</f>
        <v>292635.67</v>
      </c>
      <c r="Q42" s="24"/>
      <c r="R42" s="28">
        <f>1551035.67</f>
        <v>1551035.67</v>
      </c>
      <c r="S42" s="28"/>
    </row>
    <row r="43" spans="1:19" s="1" customFormat="1" ht="24" customHeight="1">
      <c r="A43" s="22" t="s">
        <v>112</v>
      </c>
      <c r="B43" s="22"/>
      <c r="C43" s="22"/>
      <c r="D43" s="22"/>
      <c r="E43" s="22"/>
      <c r="F43" s="23" t="s">
        <v>113</v>
      </c>
      <c r="G43" s="23"/>
      <c r="H43" s="23"/>
      <c r="I43" s="24">
        <f>2041662.5</f>
        <v>2041662.5</v>
      </c>
      <c r="J43" s="24"/>
      <c r="K43" s="25">
        <f>3057062.5</f>
        <v>3057062.5</v>
      </c>
      <c r="L43" s="25"/>
      <c r="M43" s="12">
        <f>1812972.13</f>
        <v>1812972.13</v>
      </c>
      <c r="N43" s="13" t="s">
        <v>114</v>
      </c>
      <c r="O43" s="14" t="s">
        <v>115</v>
      </c>
      <c r="P43" s="24">
        <f>228690.37</f>
        <v>228690.37</v>
      </c>
      <c r="Q43" s="24"/>
      <c r="R43" s="28">
        <f>1244090.37</f>
        <v>1244090.37</v>
      </c>
      <c r="S43" s="28"/>
    </row>
    <row r="44" spans="1:19" s="1" customFormat="1" ht="13.5" customHeight="1">
      <c r="A44" s="22" t="s">
        <v>116</v>
      </c>
      <c r="B44" s="22"/>
      <c r="C44" s="22"/>
      <c r="D44" s="22"/>
      <c r="E44" s="22"/>
      <c r="F44" s="23" t="s">
        <v>117</v>
      </c>
      <c r="G44" s="23"/>
      <c r="H44" s="23"/>
      <c r="I44" s="24">
        <f>469757.97</f>
        <v>469757.97</v>
      </c>
      <c r="J44" s="24"/>
      <c r="K44" s="25">
        <f>689757.97</f>
        <v>689757.97</v>
      </c>
      <c r="L44" s="25"/>
      <c r="M44" s="12">
        <f>414252.03</f>
        <v>414252.03</v>
      </c>
      <c r="N44" s="13" t="s">
        <v>118</v>
      </c>
      <c r="O44" s="14" t="s">
        <v>119</v>
      </c>
      <c r="P44" s="24">
        <f>55505.94</f>
        <v>55505.94</v>
      </c>
      <c r="Q44" s="24"/>
      <c r="R44" s="28">
        <f>275505.94</f>
        <v>275505.94</v>
      </c>
      <c r="S44" s="28"/>
    </row>
    <row r="45" spans="1:19" s="1" customFormat="1" ht="24" customHeight="1">
      <c r="A45" s="22" t="s">
        <v>120</v>
      </c>
      <c r="B45" s="22"/>
      <c r="C45" s="22"/>
      <c r="D45" s="22"/>
      <c r="E45" s="22"/>
      <c r="F45" s="23" t="s">
        <v>121</v>
      </c>
      <c r="G45" s="23"/>
      <c r="H45" s="23"/>
      <c r="I45" s="24">
        <f>40000</f>
        <v>40000</v>
      </c>
      <c r="J45" s="24"/>
      <c r="K45" s="25">
        <f>60000</f>
        <v>60000</v>
      </c>
      <c r="L45" s="25"/>
      <c r="M45" s="12">
        <f>34340.64</f>
        <v>34340.64</v>
      </c>
      <c r="N45" s="13" t="s">
        <v>122</v>
      </c>
      <c r="O45" s="14" t="s">
        <v>123</v>
      </c>
      <c r="P45" s="24">
        <f>5659.36</f>
        <v>5659.36</v>
      </c>
      <c r="Q45" s="24"/>
      <c r="R45" s="28">
        <f>25659.36</f>
        <v>25659.36</v>
      </c>
      <c r="S45" s="28"/>
    </row>
    <row r="46" spans="1:19" s="1" customFormat="1" ht="13.5" customHeight="1">
      <c r="A46" s="22" t="s">
        <v>124</v>
      </c>
      <c r="B46" s="22"/>
      <c r="C46" s="22"/>
      <c r="D46" s="22"/>
      <c r="E46" s="22"/>
      <c r="F46" s="23" t="s">
        <v>125</v>
      </c>
      <c r="G46" s="23"/>
      <c r="H46" s="23"/>
      <c r="I46" s="24">
        <f>11000</f>
        <v>11000</v>
      </c>
      <c r="J46" s="24"/>
      <c r="K46" s="25">
        <f>14000</f>
        <v>14000</v>
      </c>
      <c r="L46" s="25"/>
      <c r="M46" s="12">
        <f>8220</f>
        <v>8220</v>
      </c>
      <c r="N46" s="13" t="s">
        <v>126</v>
      </c>
      <c r="O46" s="14" t="s">
        <v>127</v>
      </c>
      <c r="P46" s="24">
        <f>2780</f>
        <v>2780</v>
      </c>
      <c r="Q46" s="24"/>
      <c r="R46" s="28">
        <f>5780</f>
        <v>5780</v>
      </c>
      <c r="S46" s="28"/>
    </row>
    <row r="47" spans="1:19" s="1" customFormat="1" ht="13.5" customHeight="1">
      <c r="A47" s="22" t="s">
        <v>128</v>
      </c>
      <c r="B47" s="22"/>
      <c r="C47" s="22"/>
      <c r="D47" s="22"/>
      <c r="E47" s="22"/>
      <c r="F47" s="23" t="s">
        <v>129</v>
      </c>
      <c r="G47" s="23"/>
      <c r="H47" s="23"/>
      <c r="I47" s="24">
        <f>15937.5</f>
        <v>15937.5</v>
      </c>
      <c r="J47" s="24"/>
      <c r="K47" s="25">
        <f>15937.5</f>
        <v>15937.5</v>
      </c>
      <c r="L47" s="25"/>
      <c r="M47" s="12">
        <f>15937.5</f>
        <v>15937.5</v>
      </c>
      <c r="N47" s="13" t="s">
        <v>57</v>
      </c>
      <c r="O47" s="14" t="s">
        <v>57</v>
      </c>
      <c r="P47" s="26" t="s">
        <v>1</v>
      </c>
      <c r="Q47" s="26"/>
      <c r="R47" s="27" t="s">
        <v>1</v>
      </c>
      <c r="S47" s="27"/>
    </row>
    <row r="48" spans="1:19" s="1" customFormat="1" ht="13.5" customHeight="1">
      <c r="A48" s="22" t="s">
        <v>130</v>
      </c>
      <c r="B48" s="22"/>
      <c r="C48" s="22"/>
      <c r="D48" s="22"/>
      <c r="E48" s="22"/>
      <c r="F48" s="23" t="s">
        <v>109</v>
      </c>
      <c r="G48" s="23"/>
      <c r="H48" s="23"/>
      <c r="I48" s="24">
        <f>270000</f>
        <v>270000</v>
      </c>
      <c r="J48" s="24"/>
      <c r="K48" s="25">
        <f>270000</f>
        <v>270000</v>
      </c>
      <c r="L48" s="25"/>
      <c r="M48" s="12">
        <f>177015.3</f>
        <v>177015.3</v>
      </c>
      <c r="N48" s="13" t="s">
        <v>131</v>
      </c>
      <c r="O48" s="14" t="s">
        <v>131</v>
      </c>
      <c r="P48" s="24">
        <f>92984.7</f>
        <v>92984.7</v>
      </c>
      <c r="Q48" s="24"/>
      <c r="R48" s="28">
        <f>92984.7</f>
        <v>92984.7</v>
      </c>
      <c r="S48" s="28"/>
    </row>
    <row r="49" spans="1:19" s="1" customFormat="1" ht="24" customHeight="1">
      <c r="A49" s="22" t="s">
        <v>132</v>
      </c>
      <c r="B49" s="22"/>
      <c r="C49" s="22"/>
      <c r="D49" s="22"/>
      <c r="E49" s="22"/>
      <c r="F49" s="23" t="s">
        <v>113</v>
      </c>
      <c r="G49" s="23"/>
      <c r="H49" s="23"/>
      <c r="I49" s="24">
        <f>270000</f>
        <v>270000</v>
      </c>
      <c r="J49" s="24"/>
      <c r="K49" s="25">
        <f>270000</f>
        <v>270000</v>
      </c>
      <c r="L49" s="25"/>
      <c r="M49" s="12">
        <f>177015.3</f>
        <v>177015.3</v>
      </c>
      <c r="N49" s="13" t="s">
        <v>131</v>
      </c>
      <c r="O49" s="14" t="s">
        <v>131</v>
      </c>
      <c r="P49" s="24">
        <f>92984.7</f>
        <v>92984.7</v>
      </c>
      <c r="Q49" s="24"/>
      <c r="R49" s="28">
        <f>92984.7</f>
        <v>92984.7</v>
      </c>
      <c r="S49" s="28"/>
    </row>
    <row r="50" spans="1:19" s="1" customFormat="1" ht="13.5" customHeight="1">
      <c r="A50" s="22" t="s">
        <v>133</v>
      </c>
      <c r="B50" s="22"/>
      <c r="C50" s="22"/>
      <c r="D50" s="22"/>
      <c r="E50" s="22"/>
      <c r="F50" s="23" t="s">
        <v>109</v>
      </c>
      <c r="G50" s="23"/>
      <c r="H50" s="23"/>
      <c r="I50" s="24">
        <f>145000</f>
        <v>145000</v>
      </c>
      <c r="J50" s="24"/>
      <c r="K50" s="25">
        <f>150000</f>
        <v>150000</v>
      </c>
      <c r="L50" s="25"/>
      <c r="M50" s="13" t="s">
        <v>1</v>
      </c>
      <c r="N50" s="13" t="s">
        <v>134</v>
      </c>
      <c r="O50" s="14" t="s">
        <v>134</v>
      </c>
      <c r="P50" s="24">
        <f>145000</f>
        <v>145000</v>
      </c>
      <c r="Q50" s="24"/>
      <c r="R50" s="28">
        <f>150000</f>
        <v>150000</v>
      </c>
      <c r="S50" s="28"/>
    </row>
    <row r="51" spans="1:19" s="1" customFormat="1" ht="24" customHeight="1">
      <c r="A51" s="22" t="s">
        <v>135</v>
      </c>
      <c r="B51" s="22"/>
      <c r="C51" s="22"/>
      <c r="D51" s="22"/>
      <c r="E51" s="22"/>
      <c r="F51" s="23" t="s">
        <v>113</v>
      </c>
      <c r="G51" s="23"/>
      <c r="H51" s="23"/>
      <c r="I51" s="24">
        <f>45000</f>
        <v>45000</v>
      </c>
      <c r="J51" s="24"/>
      <c r="K51" s="25">
        <f>50000</f>
        <v>50000</v>
      </c>
      <c r="L51" s="25"/>
      <c r="M51" s="13" t="s">
        <v>1</v>
      </c>
      <c r="N51" s="13" t="s">
        <v>134</v>
      </c>
      <c r="O51" s="14" t="s">
        <v>134</v>
      </c>
      <c r="P51" s="24">
        <f>45000</f>
        <v>45000</v>
      </c>
      <c r="Q51" s="24"/>
      <c r="R51" s="28">
        <f>50000</f>
        <v>50000</v>
      </c>
      <c r="S51" s="28"/>
    </row>
    <row r="52" spans="1:19" s="1" customFormat="1" ht="13.5" customHeight="1">
      <c r="A52" s="22" t="s">
        <v>136</v>
      </c>
      <c r="B52" s="22"/>
      <c r="C52" s="22"/>
      <c r="D52" s="22"/>
      <c r="E52" s="22"/>
      <c r="F52" s="23" t="s">
        <v>117</v>
      </c>
      <c r="G52" s="23"/>
      <c r="H52" s="23"/>
      <c r="I52" s="24">
        <f>100000</f>
        <v>100000</v>
      </c>
      <c r="J52" s="24"/>
      <c r="K52" s="25">
        <f>100000</f>
        <v>100000</v>
      </c>
      <c r="L52" s="25"/>
      <c r="M52" s="13" t="s">
        <v>1</v>
      </c>
      <c r="N52" s="13" t="s">
        <v>134</v>
      </c>
      <c r="O52" s="14" t="s">
        <v>134</v>
      </c>
      <c r="P52" s="24">
        <f>100000</f>
        <v>100000</v>
      </c>
      <c r="Q52" s="24"/>
      <c r="R52" s="28">
        <f>100000</f>
        <v>100000</v>
      </c>
      <c r="S52" s="28"/>
    </row>
    <row r="53" spans="1:19" s="1" customFormat="1" ht="13.5" customHeight="1">
      <c r="A53" s="22" t="s">
        <v>137</v>
      </c>
      <c r="B53" s="22"/>
      <c r="C53" s="22"/>
      <c r="D53" s="22"/>
      <c r="E53" s="22"/>
      <c r="F53" s="23" t="s">
        <v>138</v>
      </c>
      <c r="G53" s="23"/>
      <c r="H53" s="23"/>
      <c r="I53" s="24">
        <f>377200</f>
        <v>377200</v>
      </c>
      <c r="J53" s="24"/>
      <c r="K53" s="25">
        <f>523500</f>
        <v>523500</v>
      </c>
      <c r="L53" s="25"/>
      <c r="M53" s="12">
        <f>360407.22</f>
        <v>360407.22</v>
      </c>
      <c r="N53" s="13" t="s">
        <v>139</v>
      </c>
      <c r="O53" s="14" t="s">
        <v>140</v>
      </c>
      <c r="P53" s="24">
        <f>16792.78</f>
        <v>16792.78</v>
      </c>
      <c r="Q53" s="24"/>
      <c r="R53" s="28">
        <f>163092.78</f>
        <v>163092.78</v>
      </c>
      <c r="S53" s="28"/>
    </row>
    <row r="54" spans="1:19" s="1" customFormat="1" ht="33.75" customHeight="1">
      <c r="A54" s="22" t="s">
        <v>141</v>
      </c>
      <c r="B54" s="22"/>
      <c r="C54" s="22"/>
      <c r="D54" s="22"/>
      <c r="E54" s="22"/>
      <c r="F54" s="23" t="s">
        <v>142</v>
      </c>
      <c r="G54" s="23"/>
      <c r="H54" s="23"/>
      <c r="I54" s="24">
        <f>377200</f>
        <v>377200</v>
      </c>
      <c r="J54" s="24"/>
      <c r="K54" s="25">
        <f>523500</f>
        <v>523500</v>
      </c>
      <c r="L54" s="25"/>
      <c r="M54" s="12">
        <f>360407.22</f>
        <v>360407.22</v>
      </c>
      <c r="N54" s="13" t="s">
        <v>139</v>
      </c>
      <c r="O54" s="14" t="s">
        <v>140</v>
      </c>
      <c r="P54" s="24">
        <f>16792.78</f>
        <v>16792.78</v>
      </c>
      <c r="Q54" s="24"/>
      <c r="R54" s="28">
        <f>163092.78</f>
        <v>163092.78</v>
      </c>
      <c r="S54" s="28"/>
    </row>
    <row r="55" spans="1:19" s="1" customFormat="1" ht="13.5" customHeight="1">
      <c r="A55" s="22" t="s">
        <v>143</v>
      </c>
      <c r="B55" s="22"/>
      <c r="C55" s="22"/>
      <c r="D55" s="22"/>
      <c r="E55" s="22"/>
      <c r="F55" s="23" t="s">
        <v>48</v>
      </c>
      <c r="G55" s="23"/>
      <c r="H55" s="23"/>
      <c r="I55" s="24">
        <f>289750</f>
        <v>289750</v>
      </c>
      <c r="J55" s="24"/>
      <c r="K55" s="25">
        <f>402110</f>
        <v>402110</v>
      </c>
      <c r="L55" s="25"/>
      <c r="M55" s="12">
        <f>278336.19</f>
        <v>278336.19</v>
      </c>
      <c r="N55" s="13" t="s">
        <v>144</v>
      </c>
      <c r="O55" s="14" t="s">
        <v>145</v>
      </c>
      <c r="P55" s="24">
        <f>11413.81</f>
        <v>11413.81</v>
      </c>
      <c r="Q55" s="24"/>
      <c r="R55" s="28">
        <f>123773.81</f>
        <v>123773.81</v>
      </c>
      <c r="S55" s="28"/>
    </row>
    <row r="56" spans="1:19" s="1" customFormat="1" ht="45" customHeight="1">
      <c r="A56" s="22" t="s">
        <v>146</v>
      </c>
      <c r="B56" s="22"/>
      <c r="C56" s="22"/>
      <c r="D56" s="22"/>
      <c r="E56" s="22"/>
      <c r="F56" s="23" t="s">
        <v>52</v>
      </c>
      <c r="G56" s="23"/>
      <c r="H56" s="23"/>
      <c r="I56" s="24">
        <f>87450</f>
        <v>87450</v>
      </c>
      <c r="J56" s="24"/>
      <c r="K56" s="25">
        <f>121390</f>
        <v>121390</v>
      </c>
      <c r="L56" s="25"/>
      <c r="M56" s="12">
        <f>82071.03</f>
        <v>82071.03</v>
      </c>
      <c r="N56" s="13" t="s">
        <v>147</v>
      </c>
      <c r="O56" s="14" t="s">
        <v>148</v>
      </c>
      <c r="P56" s="24">
        <f>5378.97</f>
        <v>5378.97</v>
      </c>
      <c r="Q56" s="24"/>
      <c r="R56" s="28">
        <f>39318.97</f>
        <v>39318.97</v>
      </c>
      <c r="S56" s="28"/>
    </row>
    <row r="57" spans="1:19" s="1" customFormat="1" ht="13.5" customHeight="1">
      <c r="A57" s="22" t="s">
        <v>149</v>
      </c>
      <c r="B57" s="22"/>
      <c r="C57" s="22"/>
      <c r="D57" s="22"/>
      <c r="E57" s="22"/>
      <c r="F57" s="23" t="s">
        <v>150</v>
      </c>
      <c r="G57" s="23"/>
      <c r="H57" s="23"/>
      <c r="I57" s="24">
        <f>119230</f>
        <v>119230</v>
      </c>
      <c r="J57" s="24"/>
      <c r="K57" s="25">
        <f>156000</f>
        <v>156000</v>
      </c>
      <c r="L57" s="25"/>
      <c r="M57" s="12">
        <f>112078.34</f>
        <v>112078.34</v>
      </c>
      <c r="N57" s="13" t="s">
        <v>151</v>
      </c>
      <c r="O57" s="14" t="s">
        <v>152</v>
      </c>
      <c r="P57" s="24">
        <f>7151.66</f>
        <v>7151.66</v>
      </c>
      <c r="Q57" s="24"/>
      <c r="R57" s="28">
        <f>43921.66</f>
        <v>43921.66</v>
      </c>
      <c r="S57" s="28"/>
    </row>
    <row r="58" spans="1:19" s="1" customFormat="1" ht="66" customHeight="1">
      <c r="A58" s="22" t="s">
        <v>153</v>
      </c>
      <c r="B58" s="22"/>
      <c r="C58" s="22"/>
      <c r="D58" s="22"/>
      <c r="E58" s="22"/>
      <c r="F58" s="23" t="s">
        <v>154</v>
      </c>
      <c r="G58" s="23"/>
      <c r="H58" s="23"/>
      <c r="I58" s="24">
        <f>68150</f>
        <v>68150</v>
      </c>
      <c r="J58" s="24"/>
      <c r="K58" s="25">
        <f>91000</f>
        <v>91000</v>
      </c>
      <c r="L58" s="25"/>
      <c r="M58" s="12">
        <f>62671.53</f>
        <v>62671.53</v>
      </c>
      <c r="N58" s="13" t="s">
        <v>155</v>
      </c>
      <c r="O58" s="14" t="s">
        <v>156</v>
      </c>
      <c r="P58" s="24">
        <f>5478.47</f>
        <v>5478.47</v>
      </c>
      <c r="Q58" s="24"/>
      <c r="R58" s="28">
        <f>28328.47</f>
        <v>28328.47</v>
      </c>
      <c r="S58" s="28"/>
    </row>
    <row r="59" spans="1:19" s="1" customFormat="1" ht="13.5" customHeight="1">
      <c r="A59" s="22" t="s">
        <v>157</v>
      </c>
      <c r="B59" s="22"/>
      <c r="C59" s="22"/>
      <c r="D59" s="22"/>
      <c r="E59" s="22"/>
      <c r="F59" s="23" t="s">
        <v>48</v>
      </c>
      <c r="G59" s="23"/>
      <c r="H59" s="23"/>
      <c r="I59" s="24">
        <f>68150</f>
        <v>68150</v>
      </c>
      <c r="J59" s="24"/>
      <c r="K59" s="25">
        <f>91000</f>
        <v>91000</v>
      </c>
      <c r="L59" s="25"/>
      <c r="M59" s="12">
        <f>62671.53</f>
        <v>62671.53</v>
      </c>
      <c r="N59" s="13" t="s">
        <v>155</v>
      </c>
      <c r="O59" s="14" t="s">
        <v>156</v>
      </c>
      <c r="P59" s="24">
        <f>5478.47</f>
        <v>5478.47</v>
      </c>
      <c r="Q59" s="24"/>
      <c r="R59" s="28">
        <f>28328.47</f>
        <v>28328.47</v>
      </c>
      <c r="S59" s="28"/>
    </row>
    <row r="60" spans="1:19" s="1" customFormat="1" ht="66" customHeight="1">
      <c r="A60" s="22" t="s">
        <v>158</v>
      </c>
      <c r="B60" s="22"/>
      <c r="C60" s="22"/>
      <c r="D60" s="22"/>
      <c r="E60" s="22"/>
      <c r="F60" s="23" t="s">
        <v>159</v>
      </c>
      <c r="G60" s="23"/>
      <c r="H60" s="23"/>
      <c r="I60" s="24">
        <f>51080</f>
        <v>51080</v>
      </c>
      <c r="J60" s="24"/>
      <c r="K60" s="25">
        <f>65000</f>
        <v>65000</v>
      </c>
      <c r="L60" s="25"/>
      <c r="M60" s="12">
        <f>49406.81</f>
        <v>49406.81</v>
      </c>
      <c r="N60" s="13" t="s">
        <v>160</v>
      </c>
      <c r="O60" s="14" t="s">
        <v>161</v>
      </c>
      <c r="P60" s="24">
        <f>1673.19</f>
        <v>1673.19</v>
      </c>
      <c r="Q60" s="24"/>
      <c r="R60" s="28">
        <f>15593.19</f>
        <v>15593.19</v>
      </c>
      <c r="S60" s="28"/>
    </row>
    <row r="61" spans="1:19" s="1" customFormat="1" ht="45" customHeight="1">
      <c r="A61" s="22" t="s">
        <v>162</v>
      </c>
      <c r="B61" s="22"/>
      <c r="C61" s="22"/>
      <c r="D61" s="22"/>
      <c r="E61" s="22"/>
      <c r="F61" s="23" t="s">
        <v>52</v>
      </c>
      <c r="G61" s="23"/>
      <c r="H61" s="23"/>
      <c r="I61" s="24">
        <f>20600</f>
        <v>20600</v>
      </c>
      <c r="J61" s="24"/>
      <c r="K61" s="25">
        <f>27500</f>
        <v>27500</v>
      </c>
      <c r="L61" s="25"/>
      <c r="M61" s="12">
        <f>18926.81</f>
        <v>18926.81</v>
      </c>
      <c r="N61" s="13" t="s">
        <v>163</v>
      </c>
      <c r="O61" s="14" t="s">
        <v>164</v>
      </c>
      <c r="P61" s="24">
        <f>1673.19</f>
        <v>1673.19</v>
      </c>
      <c r="Q61" s="24"/>
      <c r="R61" s="28">
        <f>8573.19</f>
        <v>8573.19</v>
      </c>
      <c r="S61" s="28"/>
    </row>
    <row r="62" spans="1:19" s="1" customFormat="1" ht="24" customHeight="1">
      <c r="A62" s="22" t="s">
        <v>165</v>
      </c>
      <c r="B62" s="22"/>
      <c r="C62" s="22"/>
      <c r="D62" s="22"/>
      <c r="E62" s="22"/>
      <c r="F62" s="23" t="s">
        <v>113</v>
      </c>
      <c r="G62" s="23"/>
      <c r="H62" s="23"/>
      <c r="I62" s="24">
        <f>30480</f>
        <v>30480</v>
      </c>
      <c r="J62" s="24"/>
      <c r="K62" s="25">
        <f>37500</f>
        <v>37500</v>
      </c>
      <c r="L62" s="25"/>
      <c r="M62" s="12">
        <f>30480</f>
        <v>30480</v>
      </c>
      <c r="N62" s="13" t="s">
        <v>57</v>
      </c>
      <c r="O62" s="14" t="s">
        <v>166</v>
      </c>
      <c r="P62" s="26" t="s">
        <v>1</v>
      </c>
      <c r="Q62" s="26"/>
      <c r="R62" s="28">
        <f>7020</f>
        <v>7020</v>
      </c>
      <c r="S62" s="28"/>
    </row>
    <row r="63" spans="1:19" s="1" customFormat="1" ht="33.75" customHeight="1">
      <c r="A63" s="22" t="s">
        <v>167</v>
      </c>
      <c r="B63" s="22"/>
      <c r="C63" s="22"/>
      <c r="D63" s="22"/>
      <c r="E63" s="22"/>
      <c r="F63" s="23" t="s">
        <v>168</v>
      </c>
      <c r="G63" s="23"/>
      <c r="H63" s="23"/>
      <c r="I63" s="24">
        <f>1243900</f>
        <v>1243900</v>
      </c>
      <c r="J63" s="24"/>
      <c r="K63" s="25">
        <f>1247900</f>
        <v>1247900</v>
      </c>
      <c r="L63" s="25"/>
      <c r="M63" s="12">
        <f>1098867.5</f>
        <v>1098867.5</v>
      </c>
      <c r="N63" s="13" t="s">
        <v>169</v>
      </c>
      <c r="O63" s="14" t="s">
        <v>170</v>
      </c>
      <c r="P63" s="24">
        <f>145032.5</f>
        <v>145032.5</v>
      </c>
      <c r="Q63" s="24"/>
      <c r="R63" s="28">
        <f>149032.5</f>
        <v>149032.5</v>
      </c>
      <c r="S63" s="28"/>
    </row>
    <row r="64" spans="1:19" s="1" customFormat="1" ht="13.5" customHeight="1">
      <c r="A64" s="22" t="s">
        <v>171</v>
      </c>
      <c r="B64" s="22"/>
      <c r="C64" s="22"/>
      <c r="D64" s="22"/>
      <c r="E64" s="22"/>
      <c r="F64" s="23" t="s">
        <v>109</v>
      </c>
      <c r="G64" s="23"/>
      <c r="H64" s="23"/>
      <c r="I64" s="24">
        <f>13000</f>
        <v>13000</v>
      </c>
      <c r="J64" s="24"/>
      <c r="K64" s="25">
        <f>17000</f>
        <v>17000</v>
      </c>
      <c r="L64" s="25"/>
      <c r="M64" s="12">
        <f>8446.44</f>
        <v>8446.44</v>
      </c>
      <c r="N64" s="13" t="s">
        <v>172</v>
      </c>
      <c r="O64" s="14" t="s">
        <v>173</v>
      </c>
      <c r="P64" s="24">
        <f>4553.56</f>
        <v>4553.56</v>
      </c>
      <c r="Q64" s="24"/>
      <c r="R64" s="28">
        <f>8553.56</f>
        <v>8553.56</v>
      </c>
      <c r="S64" s="28"/>
    </row>
    <row r="65" spans="1:19" s="1" customFormat="1" ht="24" customHeight="1">
      <c r="A65" s="22" t="s">
        <v>174</v>
      </c>
      <c r="B65" s="22"/>
      <c r="C65" s="22"/>
      <c r="D65" s="22"/>
      <c r="E65" s="22"/>
      <c r="F65" s="23" t="s">
        <v>113</v>
      </c>
      <c r="G65" s="23"/>
      <c r="H65" s="23"/>
      <c r="I65" s="24">
        <f>13000</f>
        <v>13000</v>
      </c>
      <c r="J65" s="24"/>
      <c r="K65" s="25">
        <f>17000</f>
        <v>17000</v>
      </c>
      <c r="L65" s="25"/>
      <c r="M65" s="12">
        <f>8446.44</f>
        <v>8446.44</v>
      </c>
      <c r="N65" s="13" t="s">
        <v>172</v>
      </c>
      <c r="O65" s="14" t="s">
        <v>173</v>
      </c>
      <c r="P65" s="24">
        <f>4553.56</f>
        <v>4553.56</v>
      </c>
      <c r="Q65" s="24"/>
      <c r="R65" s="28">
        <f>8553.56</f>
        <v>8553.56</v>
      </c>
      <c r="S65" s="28"/>
    </row>
    <row r="66" spans="1:19" s="1" customFormat="1" ht="54.75" customHeight="1">
      <c r="A66" s="22" t="s">
        <v>175</v>
      </c>
      <c r="B66" s="22"/>
      <c r="C66" s="22"/>
      <c r="D66" s="22"/>
      <c r="E66" s="22"/>
      <c r="F66" s="23" t="s">
        <v>176</v>
      </c>
      <c r="G66" s="23"/>
      <c r="H66" s="23"/>
      <c r="I66" s="24">
        <f>1032526.32</f>
        <v>1032526.32</v>
      </c>
      <c r="J66" s="24"/>
      <c r="K66" s="25">
        <f>1032526.32</f>
        <v>1032526.32</v>
      </c>
      <c r="L66" s="25"/>
      <c r="M66" s="12">
        <f>1032526.32</f>
        <v>1032526.32</v>
      </c>
      <c r="N66" s="13" t="s">
        <v>57</v>
      </c>
      <c r="O66" s="14" t="s">
        <v>57</v>
      </c>
      <c r="P66" s="26" t="s">
        <v>1</v>
      </c>
      <c r="Q66" s="26"/>
      <c r="R66" s="27" t="s">
        <v>1</v>
      </c>
      <c r="S66" s="27"/>
    </row>
    <row r="67" spans="1:19" s="1" customFormat="1" ht="24" customHeight="1">
      <c r="A67" s="22" t="s">
        <v>177</v>
      </c>
      <c r="B67" s="22"/>
      <c r="C67" s="22"/>
      <c r="D67" s="22"/>
      <c r="E67" s="22"/>
      <c r="F67" s="23" t="s">
        <v>113</v>
      </c>
      <c r="G67" s="23"/>
      <c r="H67" s="23"/>
      <c r="I67" s="24">
        <f>1032526.32</f>
        <v>1032526.32</v>
      </c>
      <c r="J67" s="24"/>
      <c r="K67" s="25">
        <f>1032526.32</f>
        <v>1032526.32</v>
      </c>
      <c r="L67" s="25"/>
      <c r="M67" s="12">
        <f>1032526.32</f>
        <v>1032526.32</v>
      </c>
      <c r="N67" s="13" t="s">
        <v>57</v>
      </c>
      <c r="O67" s="14" t="s">
        <v>57</v>
      </c>
      <c r="P67" s="26" t="s">
        <v>1</v>
      </c>
      <c r="Q67" s="26"/>
      <c r="R67" s="27" t="s">
        <v>1</v>
      </c>
      <c r="S67" s="27"/>
    </row>
    <row r="68" spans="1:19" s="1" customFormat="1" ht="24" customHeight="1">
      <c r="A68" s="22" t="s">
        <v>178</v>
      </c>
      <c r="B68" s="22"/>
      <c r="C68" s="22"/>
      <c r="D68" s="22"/>
      <c r="E68" s="22"/>
      <c r="F68" s="23" t="s">
        <v>179</v>
      </c>
      <c r="G68" s="23"/>
      <c r="H68" s="23"/>
      <c r="I68" s="24">
        <f>48373.68</f>
        <v>48373.68</v>
      </c>
      <c r="J68" s="24"/>
      <c r="K68" s="25">
        <f>48373.68</f>
        <v>48373.68</v>
      </c>
      <c r="L68" s="25"/>
      <c r="M68" s="13" t="s">
        <v>1</v>
      </c>
      <c r="N68" s="13" t="s">
        <v>134</v>
      </c>
      <c r="O68" s="14" t="s">
        <v>134</v>
      </c>
      <c r="P68" s="24">
        <f>48373.68</f>
        <v>48373.68</v>
      </c>
      <c r="Q68" s="24"/>
      <c r="R68" s="28">
        <f>48373.68</f>
        <v>48373.68</v>
      </c>
      <c r="S68" s="28"/>
    </row>
    <row r="69" spans="1:19" s="1" customFormat="1" ht="24" customHeight="1">
      <c r="A69" s="22" t="s">
        <v>180</v>
      </c>
      <c r="B69" s="22"/>
      <c r="C69" s="22"/>
      <c r="D69" s="22"/>
      <c r="E69" s="22"/>
      <c r="F69" s="23" t="s">
        <v>113</v>
      </c>
      <c r="G69" s="23"/>
      <c r="H69" s="23"/>
      <c r="I69" s="24">
        <f>48373.68</f>
        <v>48373.68</v>
      </c>
      <c r="J69" s="24"/>
      <c r="K69" s="25">
        <f>48373.68</f>
        <v>48373.68</v>
      </c>
      <c r="L69" s="25"/>
      <c r="M69" s="13" t="s">
        <v>1</v>
      </c>
      <c r="N69" s="13" t="s">
        <v>134</v>
      </c>
      <c r="O69" s="14" t="s">
        <v>134</v>
      </c>
      <c r="P69" s="24">
        <f>48373.68</f>
        <v>48373.68</v>
      </c>
      <c r="Q69" s="24"/>
      <c r="R69" s="28">
        <f>48373.68</f>
        <v>48373.68</v>
      </c>
      <c r="S69" s="28"/>
    </row>
    <row r="70" spans="1:19" s="1" customFormat="1" ht="24" customHeight="1">
      <c r="A70" s="22" t="s">
        <v>181</v>
      </c>
      <c r="B70" s="22"/>
      <c r="C70" s="22"/>
      <c r="D70" s="22"/>
      <c r="E70" s="22"/>
      <c r="F70" s="23" t="s">
        <v>182</v>
      </c>
      <c r="G70" s="23"/>
      <c r="H70" s="23"/>
      <c r="I70" s="24">
        <f>57894.74</f>
        <v>57894.74</v>
      </c>
      <c r="J70" s="24"/>
      <c r="K70" s="25">
        <f>57894.74</f>
        <v>57894.74</v>
      </c>
      <c r="L70" s="25"/>
      <c r="M70" s="12">
        <f>52631.58</f>
        <v>52631.58</v>
      </c>
      <c r="N70" s="13" t="s">
        <v>183</v>
      </c>
      <c r="O70" s="14" t="s">
        <v>183</v>
      </c>
      <c r="P70" s="24">
        <f>5263.16</f>
        <v>5263.16</v>
      </c>
      <c r="Q70" s="24"/>
      <c r="R70" s="28">
        <f>5263.16</f>
        <v>5263.16</v>
      </c>
      <c r="S70" s="28"/>
    </row>
    <row r="71" spans="1:19" s="1" customFormat="1" ht="24" customHeight="1">
      <c r="A71" s="22" t="s">
        <v>184</v>
      </c>
      <c r="B71" s="22"/>
      <c r="C71" s="22"/>
      <c r="D71" s="22"/>
      <c r="E71" s="22"/>
      <c r="F71" s="23" t="s">
        <v>113</v>
      </c>
      <c r="G71" s="23"/>
      <c r="H71" s="23"/>
      <c r="I71" s="24">
        <f>57894.74</f>
        <v>57894.74</v>
      </c>
      <c r="J71" s="24"/>
      <c r="K71" s="25">
        <f>57894.74</f>
        <v>57894.74</v>
      </c>
      <c r="L71" s="25"/>
      <c r="M71" s="12">
        <f>52631.58</f>
        <v>52631.58</v>
      </c>
      <c r="N71" s="13" t="s">
        <v>183</v>
      </c>
      <c r="O71" s="14" t="s">
        <v>183</v>
      </c>
      <c r="P71" s="24">
        <f>5263.16</f>
        <v>5263.16</v>
      </c>
      <c r="Q71" s="24"/>
      <c r="R71" s="28">
        <f>5263.16</f>
        <v>5263.16</v>
      </c>
      <c r="S71" s="28"/>
    </row>
    <row r="72" spans="1:19" s="1" customFormat="1" ht="13.5" customHeight="1">
      <c r="A72" s="22" t="s">
        <v>185</v>
      </c>
      <c r="B72" s="22"/>
      <c r="C72" s="22"/>
      <c r="D72" s="22"/>
      <c r="E72" s="22"/>
      <c r="F72" s="23" t="s">
        <v>109</v>
      </c>
      <c r="G72" s="23"/>
      <c r="H72" s="23"/>
      <c r="I72" s="24">
        <f>92105.26</f>
        <v>92105.26</v>
      </c>
      <c r="J72" s="24"/>
      <c r="K72" s="25">
        <f>92105.26</f>
        <v>92105.26</v>
      </c>
      <c r="L72" s="25"/>
      <c r="M72" s="12">
        <f>5263.16</f>
        <v>5263.16</v>
      </c>
      <c r="N72" s="13" t="s">
        <v>186</v>
      </c>
      <c r="O72" s="14" t="s">
        <v>186</v>
      </c>
      <c r="P72" s="24">
        <f>86842.1</f>
        <v>86842.1</v>
      </c>
      <c r="Q72" s="24"/>
      <c r="R72" s="28">
        <f>86842.1</f>
        <v>86842.1</v>
      </c>
      <c r="S72" s="28"/>
    </row>
    <row r="73" spans="1:19" s="1" customFormat="1" ht="24" customHeight="1">
      <c r="A73" s="22" t="s">
        <v>187</v>
      </c>
      <c r="B73" s="22"/>
      <c r="C73" s="22"/>
      <c r="D73" s="22"/>
      <c r="E73" s="22"/>
      <c r="F73" s="23" t="s">
        <v>113</v>
      </c>
      <c r="G73" s="23"/>
      <c r="H73" s="23"/>
      <c r="I73" s="24">
        <f>92105.26</f>
        <v>92105.26</v>
      </c>
      <c r="J73" s="24"/>
      <c r="K73" s="25">
        <f>92105.26</f>
        <v>92105.26</v>
      </c>
      <c r="L73" s="25"/>
      <c r="M73" s="12">
        <f>5263.16</f>
        <v>5263.16</v>
      </c>
      <c r="N73" s="13" t="s">
        <v>186</v>
      </c>
      <c r="O73" s="14" t="s">
        <v>186</v>
      </c>
      <c r="P73" s="24">
        <f>86842.1</f>
        <v>86842.1</v>
      </c>
      <c r="Q73" s="24"/>
      <c r="R73" s="28">
        <f>86842.1</f>
        <v>86842.1</v>
      </c>
      <c r="S73" s="28"/>
    </row>
    <row r="74" spans="1:19" s="1" customFormat="1" ht="24" customHeight="1">
      <c r="A74" s="22" t="s">
        <v>188</v>
      </c>
      <c r="B74" s="22"/>
      <c r="C74" s="22"/>
      <c r="D74" s="22"/>
      <c r="E74" s="22"/>
      <c r="F74" s="23" t="s">
        <v>189</v>
      </c>
      <c r="G74" s="23"/>
      <c r="H74" s="23"/>
      <c r="I74" s="26" t="s">
        <v>1</v>
      </c>
      <c r="J74" s="26"/>
      <c r="K74" s="25">
        <f>23000</f>
        <v>23000</v>
      </c>
      <c r="L74" s="25"/>
      <c r="M74" s="13" t="s">
        <v>1</v>
      </c>
      <c r="N74" s="13" t="s">
        <v>134</v>
      </c>
      <c r="O74" s="14" t="s">
        <v>134</v>
      </c>
      <c r="P74" s="26" t="s">
        <v>1</v>
      </c>
      <c r="Q74" s="26"/>
      <c r="R74" s="28">
        <f>23000</f>
        <v>23000</v>
      </c>
      <c r="S74" s="28"/>
    </row>
    <row r="75" spans="1:19" s="1" customFormat="1" ht="24" customHeight="1">
      <c r="A75" s="22" t="s">
        <v>190</v>
      </c>
      <c r="B75" s="22"/>
      <c r="C75" s="22"/>
      <c r="D75" s="22"/>
      <c r="E75" s="22"/>
      <c r="F75" s="23" t="s">
        <v>191</v>
      </c>
      <c r="G75" s="23"/>
      <c r="H75" s="23"/>
      <c r="I75" s="26" t="s">
        <v>1</v>
      </c>
      <c r="J75" s="26"/>
      <c r="K75" s="25">
        <f>11500</f>
        <v>11500</v>
      </c>
      <c r="L75" s="25"/>
      <c r="M75" s="13" t="s">
        <v>1</v>
      </c>
      <c r="N75" s="13" t="s">
        <v>134</v>
      </c>
      <c r="O75" s="14" t="s">
        <v>134</v>
      </c>
      <c r="P75" s="26" t="s">
        <v>1</v>
      </c>
      <c r="Q75" s="26"/>
      <c r="R75" s="28">
        <f>11500</f>
        <v>11500</v>
      </c>
      <c r="S75" s="28"/>
    </row>
    <row r="76" spans="1:19" s="1" customFormat="1" ht="24" customHeight="1">
      <c r="A76" s="22" t="s">
        <v>192</v>
      </c>
      <c r="B76" s="22"/>
      <c r="C76" s="22"/>
      <c r="D76" s="22"/>
      <c r="E76" s="22"/>
      <c r="F76" s="23" t="s">
        <v>113</v>
      </c>
      <c r="G76" s="23"/>
      <c r="H76" s="23"/>
      <c r="I76" s="26" t="s">
        <v>1</v>
      </c>
      <c r="J76" s="26"/>
      <c r="K76" s="25">
        <f>11500</f>
        <v>11500</v>
      </c>
      <c r="L76" s="25"/>
      <c r="M76" s="13" t="s">
        <v>1</v>
      </c>
      <c r="N76" s="13" t="s">
        <v>134</v>
      </c>
      <c r="O76" s="14" t="s">
        <v>134</v>
      </c>
      <c r="P76" s="26" t="s">
        <v>1</v>
      </c>
      <c r="Q76" s="26"/>
      <c r="R76" s="28">
        <f>11500</f>
        <v>11500</v>
      </c>
      <c r="S76" s="28"/>
    </row>
    <row r="77" spans="1:19" s="1" customFormat="1" ht="33.75" customHeight="1">
      <c r="A77" s="22" t="s">
        <v>193</v>
      </c>
      <c r="B77" s="22"/>
      <c r="C77" s="22"/>
      <c r="D77" s="22"/>
      <c r="E77" s="22"/>
      <c r="F77" s="23" t="s">
        <v>194</v>
      </c>
      <c r="G77" s="23"/>
      <c r="H77" s="23"/>
      <c r="I77" s="26" t="s">
        <v>1</v>
      </c>
      <c r="J77" s="26"/>
      <c r="K77" s="25">
        <f>11500</f>
        <v>11500</v>
      </c>
      <c r="L77" s="25"/>
      <c r="M77" s="13" t="s">
        <v>1</v>
      </c>
      <c r="N77" s="13" t="s">
        <v>134</v>
      </c>
      <c r="O77" s="14" t="s">
        <v>134</v>
      </c>
      <c r="P77" s="26" t="s">
        <v>1</v>
      </c>
      <c r="Q77" s="26"/>
      <c r="R77" s="28">
        <f>11500</f>
        <v>11500</v>
      </c>
      <c r="S77" s="28"/>
    </row>
    <row r="78" spans="1:19" s="1" customFormat="1" ht="24" customHeight="1">
      <c r="A78" s="22" t="s">
        <v>195</v>
      </c>
      <c r="B78" s="22"/>
      <c r="C78" s="22"/>
      <c r="D78" s="22"/>
      <c r="E78" s="22"/>
      <c r="F78" s="23" t="s">
        <v>113</v>
      </c>
      <c r="G78" s="23"/>
      <c r="H78" s="23"/>
      <c r="I78" s="26" t="s">
        <v>1</v>
      </c>
      <c r="J78" s="26"/>
      <c r="K78" s="25">
        <f>11500</f>
        <v>11500</v>
      </c>
      <c r="L78" s="25"/>
      <c r="M78" s="13" t="s">
        <v>1</v>
      </c>
      <c r="N78" s="13" t="s">
        <v>134</v>
      </c>
      <c r="O78" s="14" t="s">
        <v>134</v>
      </c>
      <c r="P78" s="26" t="s">
        <v>1</v>
      </c>
      <c r="Q78" s="26"/>
      <c r="R78" s="28">
        <f>11500</f>
        <v>11500</v>
      </c>
      <c r="S78" s="28"/>
    </row>
    <row r="79" spans="1:19" s="1" customFormat="1" ht="13.5" customHeight="1">
      <c r="A79" s="22" t="s">
        <v>196</v>
      </c>
      <c r="B79" s="22"/>
      <c r="C79" s="22"/>
      <c r="D79" s="22"/>
      <c r="E79" s="22"/>
      <c r="F79" s="23" t="s">
        <v>197</v>
      </c>
      <c r="G79" s="23"/>
      <c r="H79" s="23"/>
      <c r="I79" s="24">
        <f>740000</f>
        <v>740000</v>
      </c>
      <c r="J79" s="24"/>
      <c r="K79" s="25">
        <f>740000</f>
        <v>740000</v>
      </c>
      <c r="L79" s="25"/>
      <c r="M79" s="12">
        <f>679089.03</f>
        <v>679089.03</v>
      </c>
      <c r="N79" s="13" t="s">
        <v>198</v>
      </c>
      <c r="O79" s="14" t="s">
        <v>198</v>
      </c>
      <c r="P79" s="24">
        <f>60910.97</f>
        <v>60910.97</v>
      </c>
      <c r="Q79" s="24"/>
      <c r="R79" s="28">
        <f>60910.97</f>
        <v>60910.97</v>
      </c>
      <c r="S79" s="28"/>
    </row>
    <row r="80" spans="1:19" s="1" customFormat="1" ht="54.75" customHeight="1">
      <c r="A80" s="22" t="s">
        <v>199</v>
      </c>
      <c r="B80" s="22"/>
      <c r="C80" s="22"/>
      <c r="D80" s="22"/>
      <c r="E80" s="22"/>
      <c r="F80" s="23" t="s">
        <v>200</v>
      </c>
      <c r="G80" s="23"/>
      <c r="H80" s="23"/>
      <c r="I80" s="24">
        <f>740000</f>
        <v>740000</v>
      </c>
      <c r="J80" s="24"/>
      <c r="K80" s="25">
        <f>740000</f>
        <v>740000</v>
      </c>
      <c r="L80" s="25"/>
      <c r="M80" s="12">
        <f>679089.03</f>
        <v>679089.03</v>
      </c>
      <c r="N80" s="13" t="s">
        <v>198</v>
      </c>
      <c r="O80" s="14" t="s">
        <v>198</v>
      </c>
      <c r="P80" s="24">
        <f>60910.97</f>
        <v>60910.97</v>
      </c>
      <c r="Q80" s="24"/>
      <c r="R80" s="28">
        <f>60910.97</f>
        <v>60910.97</v>
      </c>
      <c r="S80" s="28"/>
    </row>
    <row r="81" spans="1:19" s="1" customFormat="1" ht="13.5" customHeight="1">
      <c r="A81" s="22" t="s">
        <v>201</v>
      </c>
      <c r="B81" s="22"/>
      <c r="C81" s="22"/>
      <c r="D81" s="22"/>
      <c r="E81" s="22"/>
      <c r="F81" s="23" t="s">
        <v>202</v>
      </c>
      <c r="G81" s="23"/>
      <c r="H81" s="23"/>
      <c r="I81" s="24">
        <f>740000</f>
        <v>740000</v>
      </c>
      <c r="J81" s="24"/>
      <c r="K81" s="25">
        <f>740000</f>
        <v>740000</v>
      </c>
      <c r="L81" s="25"/>
      <c r="M81" s="12">
        <f>679089.03</f>
        <v>679089.03</v>
      </c>
      <c r="N81" s="13" t="s">
        <v>198</v>
      </c>
      <c r="O81" s="14" t="s">
        <v>198</v>
      </c>
      <c r="P81" s="24">
        <f>60910.97</f>
        <v>60910.97</v>
      </c>
      <c r="Q81" s="24"/>
      <c r="R81" s="28">
        <f>60910.97</f>
        <v>60910.97</v>
      </c>
      <c r="S81" s="28"/>
    </row>
    <row r="82" spans="1:19" s="1" customFormat="1" ht="13.5" customHeight="1">
      <c r="A82" s="22" t="s">
        <v>203</v>
      </c>
      <c r="B82" s="22"/>
      <c r="C82" s="22"/>
      <c r="D82" s="22"/>
      <c r="E82" s="22"/>
      <c r="F82" s="23" t="s">
        <v>204</v>
      </c>
      <c r="G82" s="23"/>
      <c r="H82" s="23"/>
      <c r="I82" s="24">
        <f>1024748.25</f>
        <v>1024748.25</v>
      </c>
      <c r="J82" s="24"/>
      <c r="K82" s="25">
        <f>1024748.25</f>
        <v>1024748.25</v>
      </c>
      <c r="L82" s="25"/>
      <c r="M82" s="12">
        <f>425600</f>
        <v>425600</v>
      </c>
      <c r="N82" s="13" t="s">
        <v>205</v>
      </c>
      <c r="O82" s="14" t="s">
        <v>205</v>
      </c>
      <c r="P82" s="24">
        <f>599148.25</f>
        <v>599148.25</v>
      </c>
      <c r="Q82" s="24"/>
      <c r="R82" s="28">
        <f>599148.25</f>
        <v>599148.25</v>
      </c>
      <c r="S82" s="28"/>
    </row>
    <row r="83" spans="1:19" s="1" customFormat="1" ht="54.75" customHeight="1">
      <c r="A83" s="22" t="s">
        <v>206</v>
      </c>
      <c r="B83" s="22"/>
      <c r="C83" s="22"/>
      <c r="D83" s="22"/>
      <c r="E83" s="22"/>
      <c r="F83" s="23" t="s">
        <v>207</v>
      </c>
      <c r="G83" s="23"/>
      <c r="H83" s="23"/>
      <c r="I83" s="24">
        <f>981474</f>
        <v>981474</v>
      </c>
      <c r="J83" s="24"/>
      <c r="K83" s="25">
        <f>981474</f>
        <v>981474</v>
      </c>
      <c r="L83" s="25"/>
      <c r="M83" s="12">
        <f>425600</f>
        <v>425600</v>
      </c>
      <c r="N83" s="13" t="s">
        <v>208</v>
      </c>
      <c r="O83" s="14" t="s">
        <v>208</v>
      </c>
      <c r="P83" s="24">
        <f>555874</f>
        <v>555874</v>
      </c>
      <c r="Q83" s="24"/>
      <c r="R83" s="28">
        <f>555874</f>
        <v>555874</v>
      </c>
      <c r="S83" s="28"/>
    </row>
    <row r="84" spans="1:19" s="1" customFormat="1" ht="24" customHeight="1">
      <c r="A84" s="22" t="s">
        <v>209</v>
      </c>
      <c r="B84" s="22"/>
      <c r="C84" s="22"/>
      <c r="D84" s="22"/>
      <c r="E84" s="22"/>
      <c r="F84" s="23" t="s">
        <v>113</v>
      </c>
      <c r="G84" s="23"/>
      <c r="H84" s="23"/>
      <c r="I84" s="24">
        <f>981474</f>
        <v>981474</v>
      </c>
      <c r="J84" s="24"/>
      <c r="K84" s="25">
        <f>981474</f>
        <v>981474</v>
      </c>
      <c r="L84" s="25"/>
      <c r="M84" s="12">
        <f>425600</f>
        <v>425600</v>
      </c>
      <c r="N84" s="13" t="s">
        <v>208</v>
      </c>
      <c r="O84" s="14" t="s">
        <v>208</v>
      </c>
      <c r="P84" s="24">
        <f>555874</f>
        <v>555874</v>
      </c>
      <c r="Q84" s="24"/>
      <c r="R84" s="28">
        <f>555874</f>
        <v>555874</v>
      </c>
      <c r="S84" s="28"/>
    </row>
    <row r="85" spans="1:19" s="1" customFormat="1" ht="45" customHeight="1">
      <c r="A85" s="22" t="s">
        <v>210</v>
      </c>
      <c r="B85" s="22"/>
      <c r="C85" s="22"/>
      <c r="D85" s="22"/>
      <c r="E85" s="22"/>
      <c r="F85" s="23" t="s">
        <v>211</v>
      </c>
      <c r="G85" s="23"/>
      <c r="H85" s="23"/>
      <c r="I85" s="24">
        <f>43274.25</f>
        <v>43274.25</v>
      </c>
      <c r="J85" s="24"/>
      <c r="K85" s="25">
        <f>43274.25</f>
        <v>43274.25</v>
      </c>
      <c r="L85" s="25"/>
      <c r="M85" s="13" t="s">
        <v>1</v>
      </c>
      <c r="N85" s="13" t="s">
        <v>134</v>
      </c>
      <c r="O85" s="14" t="s">
        <v>134</v>
      </c>
      <c r="P85" s="24">
        <f>43274.25</f>
        <v>43274.25</v>
      </c>
      <c r="Q85" s="24"/>
      <c r="R85" s="28">
        <f>43274.25</f>
        <v>43274.25</v>
      </c>
      <c r="S85" s="28"/>
    </row>
    <row r="86" spans="1:19" s="1" customFormat="1" ht="24" customHeight="1">
      <c r="A86" s="22" t="s">
        <v>212</v>
      </c>
      <c r="B86" s="22"/>
      <c r="C86" s="22"/>
      <c r="D86" s="22"/>
      <c r="E86" s="22"/>
      <c r="F86" s="23" t="s">
        <v>113</v>
      </c>
      <c r="G86" s="23"/>
      <c r="H86" s="23"/>
      <c r="I86" s="24">
        <f>43274.25</f>
        <v>43274.25</v>
      </c>
      <c r="J86" s="24"/>
      <c r="K86" s="25">
        <f>43274.25</f>
        <v>43274.25</v>
      </c>
      <c r="L86" s="25"/>
      <c r="M86" s="13" t="s">
        <v>1</v>
      </c>
      <c r="N86" s="13" t="s">
        <v>134</v>
      </c>
      <c r="O86" s="14" t="s">
        <v>134</v>
      </c>
      <c r="P86" s="24">
        <f>43274.25</f>
        <v>43274.25</v>
      </c>
      <c r="Q86" s="24"/>
      <c r="R86" s="28">
        <f>43274.25</f>
        <v>43274.25</v>
      </c>
      <c r="S86" s="28"/>
    </row>
    <row r="87" spans="1:19" s="1" customFormat="1" ht="13.5" customHeight="1">
      <c r="A87" s="22" t="s">
        <v>213</v>
      </c>
      <c r="B87" s="22"/>
      <c r="C87" s="22"/>
      <c r="D87" s="22"/>
      <c r="E87" s="22"/>
      <c r="F87" s="23" t="s">
        <v>214</v>
      </c>
      <c r="G87" s="23"/>
      <c r="H87" s="23"/>
      <c r="I87" s="24">
        <f>14725120.32</f>
        <v>14725120.32</v>
      </c>
      <c r="J87" s="24"/>
      <c r="K87" s="25">
        <f>21255708</f>
        <v>21255708</v>
      </c>
      <c r="L87" s="25"/>
      <c r="M87" s="12">
        <f>14571596.47</f>
        <v>14571596.47</v>
      </c>
      <c r="N87" s="13" t="s">
        <v>215</v>
      </c>
      <c r="O87" s="14" t="s">
        <v>216</v>
      </c>
      <c r="P87" s="24">
        <f>153523.85</f>
        <v>153523.85</v>
      </c>
      <c r="Q87" s="24"/>
      <c r="R87" s="28">
        <f>6684111.53</f>
        <v>6684111.53</v>
      </c>
      <c r="S87" s="28"/>
    </row>
    <row r="88" spans="1:19" s="1" customFormat="1" ht="54.75" customHeight="1">
      <c r="A88" s="22" t="s">
        <v>217</v>
      </c>
      <c r="B88" s="22"/>
      <c r="C88" s="22"/>
      <c r="D88" s="22"/>
      <c r="E88" s="22"/>
      <c r="F88" s="23" t="s">
        <v>218</v>
      </c>
      <c r="G88" s="23"/>
      <c r="H88" s="23"/>
      <c r="I88" s="24">
        <f>681156</f>
        <v>681156</v>
      </c>
      <c r="J88" s="24"/>
      <c r="K88" s="25">
        <f>908208</f>
        <v>908208</v>
      </c>
      <c r="L88" s="25"/>
      <c r="M88" s="12">
        <f>584930.5</f>
        <v>584930.5</v>
      </c>
      <c r="N88" s="13" t="s">
        <v>219</v>
      </c>
      <c r="O88" s="14" t="s">
        <v>220</v>
      </c>
      <c r="P88" s="24">
        <f>96225.5</f>
        <v>96225.5</v>
      </c>
      <c r="Q88" s="24"/>
      <c r="R88" s="28">
        <f>323277.5</f>
        <v>323277.5</v>
      </c>
      <c r="S88" s="28"/>
    </row>
    <row r="89" spans="1:19" s="1" customFormat="1" ht="24" customHeight="1">
      <c r="A89" s="22" t="s">
        <v>221</v>
      </c>
      <c r="B89" s="22"/>
      <c r="C89" s="22"/>
      <c r="D89" s="22"/>
      <c r="E89" s="22"/>
      <c r="F89" s="23" t="s">
        <v>113</v>
      </c>
      <c r="G89" s="23"/>
      <c r="H89" s="23"/>
      <c r="I89" s="24">
        <f>681156</f>
        <v>681156</v>
      </c>
      <c r="J89" s="24"/>
      <c r="K89" s="25">
        <f>908208</f>
        <v>908208</v>
      </c>
      <c r="L89" s="25"/>
      <c r="M89" s="12">
        <f>584930.5</f>
        <v>584930.5</v>
      </c>
      <c r="N89" s="13" t="s">
        <v>219</v>
      </c>
      <c r="O89" s="14" t="s">
        <v>220</v>
      </c>
      <c r="P89" s="24">
        <f>96225.5</f>
        <v>96225.5</v>
      </c>
      <c r="Q89" s="24"/>
      <c r="R89" s="28">
        <f>323277.5</f>
        <v>323277.5</v>
      </c>
      <c r="S89" s="28"/>
    </row>
    <row r="90" spans="1:19" s="1" customFormat="1" ht="13.5" customHeight="1">
      <c r="A90" s="22" t="s">
        <v>222</v>
      </c>
      <c r="B90" s="22"/>
      <c r="C90" s="22"/>
      <c r="D90" s="22"/>
      <c r="E90" s="22"/>
      <c r="F90" s="23" t="s">
        <v>109</v>
      </c>
      <c r="G90" s="23"/>
      <c r="H90" s="23"/>
      <c r="I90" s="24">
        <f>14043964.32</f>
        <v>14043964.32</v>
      </c>
      <c r="J90" s="24"/>
      <c r="K90" s="25">
        <f>20347500</f>
        <v>20347500</v>
      </c>
      <c r="L90" s="25"/>
      <c r="M90" s="12">
        <f>13986665.97</f>
        <v>13986665.97</v>
      </c>
      <c r="N90" s="13" t="s">
        <v>223</v>
      </c>
      <c r="O90" s="14" t="s">
        <v>224</v>
      </c>
      <c r="P90" s="24">
        <f>57298.35</f>
        <v>57298.35</v>
      </c>
      <c r="Q90" s="24"/>
      <c r="R90" s="28">
        <f>6360834.03</f>
        <v>6360834.03</v>
      </c>
      <c r="S90" s="28"/>
    </row>
    <row r="91" spans="1:19" s="1" customFormat="1" ht="24" customHeight="1">
      <c r="A91" s="22" t="s">
        <v>225</v>
      </c>
      <c r="B91" s="22"/>
      <c r="C91" s="22"/>
      <c r="D91" s="22"/>
      <c r="E91" s="22"/>
      <c r="F91" s="23" t="s">
        <v>113</v>
      </c>
      <c r="G91" s="23"/>
      <c r="H91" s="23"/>
      <c r="I91" s="24">
        <f>14043964.32</f>
        <v>14043964.32</v>
      </c>
      <c r="J91" s="24"/>
      <c r="K91" s="25">
        <f>20347500</f>
        <v>20347500</v>
      </c>
      <c r="L91" s="25"/>
      <c r="M91" s="12">
        <f>13986665.97</f>
        <v>13986665.97</v>
      </c>
      <c r="N91" s="13" t="s">
        <v>223</v>
      </c>
      <c r="O91" s="14" t="s">
        <v>224</v>
      </c>
      <c r="P91" s="24">
        <f>57298.35</f>
        <v>57298.35</v>
      </c>
      <c r="Q91" s="24"/>
      <c r="R91" s="28">
        <f>6360834.03</f>
        <v>6360834.03</v>
      </c>
      <c r="S91" s="28"/>
    </row>
    <row r="92" spans="1:19" s="1" customFormat="1" ht="13.5" customHeight="1">
      <c r="A92" s="22" t="s">
        <v>226</v>
      </c>
      <c r="B92" s="22"/>
      <c r="C92" s="22"/>
      <c r="D92" s="22"/>
      <c r="E92" s="22"/>
      <c r="F92" s="23" t="s">
        <v>227</v>
      </c>
      <c r="G92" s="23"/>
      <c r="H92" s="23"/>
      <c r="I92" s="24">
        <f>1620157.1</f>
        <v>1620157.1</v>
      </c>
      <c r="J92" s="24"/>
      <c r="K92" s="25">
        <f>2245883.36</f>
        <v>2245883.36</v>
      </c>
      <c r="L92" s="25"/>
      <c r="M92" s="12">
        <f>1191257.66</f>
        <v>1191257.66</v>
      </c>
      <c r="N92" s="13" t="s">
        <v>228</v>
      </c>
      <c r="O92" s="14" t="s">
        <v>229</v>
      </c>
      <c r="P92" s="24">
        <f>428899.44</f>
        <v>428899.44</v>
      </c>
      <c r="Q92" s="24"/>
      <c r="R92" s="28">
        <f>1054625.7</f>
        <v>1054625.7</v>
      </c>
      <c r="S92" s="28"/>
    </row>
    <row r="93" spans="1:19" s="1" customFormat="1" ht="13.5" customHeight="1">
      <c r="A93" s="22" t="s">
        <v>230</v>
      </c>
      <c r="B93" s="22"/>
      <c r="C93" s="22"/>
      <c r="D93" s="22"/>
      <c r="E93" s="22"/>
      <c r="F93" s="23" t="s">
        <v>231</v>
      </c>
      <c r="G93" s="23"/>
      <c r="H93" s="23"/>
      <c r="I93" s="24">
        <f>1620157.1</f>
        <v>1620157.1</v>
      </c>
      <c r="J93" s="24"/>
      <c r="K93" s="25">
        <f>2245883.36</f>
        <v>2245883.36</v>
      </c>
      <c r="L93" s="25"/>
      <c r="M93" s="12">
        <f>1191257.66</f>
        <v>1191257.66</v>
      </c>
      <c r="N93" s="13" t="s">
        <v>228</v>
      </c>
      <c r="O93" s="14" t="s">
        <v>229</v>
      </c>
      <c r="P93" s="24">
        <f>428899.44</f>
        <v>428899.44</v>
      </c>
      <c r="Q93" s="24"/>
      <c r="R93" s="28">
        <f>1054625.7</f>
        <v>1054625.7</v>
      </c>
      <c r="S93" s="28"/>
    </row>
    <row r="94" spans="1:19" s="1" customFormat="1" ht="24" customHeight="1">
      <c r="A94" s="22" t="s">
        <v>232</v>
      </c>
      <c r="B94" s="22"/>
      <c r="C94" s="22"/>
      <c r="D94" s="22"/>
      <c r="E94" s="22"/>
      <c r="F94" s="23" t="s">
        <v>113</v>
      </c>
      <c r="G94" s="23"/>
      <c r="H94" s="23"/>
      <c r="I94" s="24">
        <f>1620157.1</f>
        <v>1620157.1</v>
      </c>
      <c r="J94" s="24"/>
      <c r="K94" s="25">
        <f>2245883.36</f>
        <v>2245883.36</v>
      </c>
      <c r="L94" s="25"/>
      <c r="M94" s="12">
        <f>1191257.66</f>
        <v>1191257.66</v>
      </c>
      <c r="N94" s="13" t="s">
        <v>228</v>
      </c>
      <c r="O94" s="14" t="s">
        <v>229</v>
      </c>
      <c r="P94" s="24">
        <f>428899.44</f>
        <v>428899.44</v>
      </c>
      <c r="Q94" s="24"/>
      <c r="R94" s="28">
        <f>1054625.7</f>
        <v>1054625.7</v>
      </c>
      <c r="S94" s="28"/>
    </row>
    <row r="95" spans="1:19" s="1" customFormat="1" ht="24" customHeight="1">
      <c r="A95" s="22" t="s">
        <v>233</v>
      </c>
      <c r="B95" s="22"/>
      <c r="C95" s="22"/>
      <c r="D95" s="22"/>
      <c r="E95" s="22"/>
      <c r="F95" s="23" t="s">
        <v>234</v>
      </c>
      <c r="G95" s="23"/>
      <c r="H95" s="23"/>
      <c r="I95" s="24">
        <f>1859983.61</f>
        <v>1859983.61</v>
      </c>
      <c r="J95" s="24"/>
      <c r="K95" s="25">
        <f>2825544.83</f>
        <v>2825544.83</v>
      </c>
      <c r="L95" s="25"/>
      <c r="M95" s="12">
        <f>1680408.64</f>
        <v>1680408.64</v>
      </c>
      <c r="N95" s="13" t="s">
        <v>235</v>
      </c>
      <c r="O95" s="14" t="s">
        <v>236</v>
      </c>
      <c r="P95" s="24">
        <f>179574.97</f>
        <v>179574.97</v>
      </c>
      <c r="Q95" s="24"/>
      <c r="R95" s="28">
        <f>1145136.19</f>
        <v>1145136.19</v>
      </c>
      <c r="S95" s="28"/>
    </row>
    <row r="96" spans="1:19" s="1" customFormat="1" ht="13.5" customHeight="1">
      <c r="A96" s="22" t="s">
        <v>237</v>
      </c>
      <c r="B96" s="22"/>
      <c r="C96" s="22"/>
      <c r="D96" s="22"/>
      <c r="E96" s="22"/>
      <c r="F96" s="23" t="s">
        <v>109</v>
      </c>
      <c r="G96" s="23"/>
      <c r="H96" s="23"/>
      <c r="I96" s="26" t="s">
        <v>1</v>
      </c>
      <c r="J96" s="26"/>
      <c r="K96" s="25">
        <f>10000</f>
        <v>10000</v>
      </c>
      <c r="L96" s="25"/>
      <c r="M96" s="13" t="s">
        <v>1</v>
      </c>
      <c r="N96" s="13" t="s">
        <v>134</v>
      </c>
      <c r="O96" s="14" t="s">
        <v>134</v>
      </c>
      <c r="P96" s="26" t="s">
        <v>1</v>
      </c>
      <c r="Q96" s="26"/>
      <c r="R96" s="28">
        <f>10000</f>
        <v>10000</v>
      </c>
      <c r="S96" s="28"/>
    </row>
    <row r="97" spans="1:19" s="1" customFormat="1" ht="24" customHeight="1">
      <c r="A97" s="22" t="s">
        <v>238</v>
      </c>
      <c r="B97" s="22"/>
      <c r="C97" s="22"/>
      <c r="D97" s="22"/>
      <c r="E97" s="22"/>
      <c r="F97" s="23" t="s">
        <v>113</v>
      </c>
      <c r="G97" s="23"/>
      <c r="H97" s="23"/>
      <c r="I97" s="26" t="s">
        <v>1</v>
      </c>
      <c r="J97" s="26"/>
      <c r="K97" s="25">
        <f>10000</f>
        <v>10000</v>
      </c>
      <c r="L97" s="25"/>
      <c r="M97" s="13" t="s">
        <v>1</v>
      </c>
      <c r="N97" s="13" t="s">
        <v>134</v>
      </c>
      <c r="O97" s="14" t="s">
        <v>134</v>
      </c>
      <c r="P97" s="26" t="s">
        <v>1</v>
      </c>
      <c r="Q97" s="26"/>
      <c r="R97" s="28">
        <f>10000</f>
        <v>10000</v>
      </c>
      <c r="S97" s="28"/>
    </row>
    <row r="98" spans="1:19" s="1" customFormat="1" ht="13.5" customHeight="1">
      <c r="A98" s="22" t="s">
        <v>239</v>
      </c>
      <c r="B98" s="22"/>
      <c r="C98" s="22"/>
      <c r="D98" s="22"/>
      <c r="E98" s="22"/>
      <c r="F98" s="23" t="s">
        <v>109</v>
      </c>
      <c r="G98" s="23"/>
      <c r="H98" s="23"/>
      <c r="I98" s="24">
        <f>10000</f>
        <v>10000</v>
      </c>
      <c r="J98" s="24"/>
      <c r="K98" s="25">
        <f>10000</f>
        <v>10000</v>
      </c>
      <c r="L98" s="25"/>
      <c r="M98" s="13" t="s">
        <v>1</v>
      </c>
      <c r="N98" s="13" t="s">
        <v>134</v>
      </c>
      <c r="O98" s="14" t="s">
        <v>134</v>
      </c>
      <c r="P98" s="24">
        <f>10000</f>
        <v>10000</v>
      </c>
      <c r="Q98" s="24"/>
      <c r="R98" s="28">
        <f>10000</f>
        <v>10000</v>
      </c>
      <c r="S98" s="28"/>
    </row>
    <row r="99" spans="1:19" s="1" customFormat="1" ht="24" customHeight="1">
      <c r="A99" s="22" t="s">
        <v>240</v>
      </c>
      <c r="B99" s="22"/>
      <c r="C99" s="22"/>
      <c r="D99" s="22"/>
      <c r="E99" s="22"/>
      <c r="F99" s="23" t="s">
        <v>113</v>
      </c>
      <c r="G99" s="23"/>
      <c r="H99" s="23"/>
      <c r="I99" s="24">
        <f>10000</f>
        <v>10000</v>
      </c>
      <c r="J99" s="24"/>
      <c r="K99" s="25">
        <f>10000</f>
        <v>10000</v>
      </c>
      <c r="L99" s="25"/>
      <c r="M99" s="13" t="s">
        <v>1</v>
      </c>
      <c r="N99" s="13" t="s">
        <v>134</v>
      </c>
      <c r="O99" s="14" t="s">
        <v>134</v>
      </c>
      <c r="P99" s="24">
        <f>10000</f>
        <v>10000</v>
      </c>
      <c r="Q99" s="24"/>
      <c r="R99" s="28">
        <f>10000</f>
        <v>10000</v>
      </c>
      <c r="S99" s="28"/>
    </row>
    <row r="100" spans="1:19" s="1" customFormat="1" ht="13.5" customHeight="1">
      <c r="A100" s="22" t="s">
        <v>241</v>
      </c>
      <c r="B100" s="22"/>
      <c r="C100" s="22"/>
      <c r="D100" s="22"/>
      <c r="E100" s="22"/>
      <c r="F100" s="23" t="s">
        <v>109</v>
      </c>
      <c r="G100" s="23"/>
      <c r="H100" s="23"/>
      <c r="I100" s="24">
        <f>160000</f>
        <v>160000</v>
      </c>
      <c r="J100" s="24"/>
      <c r="K100" s="25">
        <f>565000</f>
        <v>565000</v>
      </c>
      <c r="L100" s="25"/>
      <c r="M100" s="13" t="s">
        <v>1</v>
      </c>
      <c r="N100" s="13" t="s">
        <v>134</v>
      </c>
      <c r="O100" s="14" t="s">
        <v>134</v>
      </c>
      <c r="P100" s="24">
        <f>160000</f>
        <v>160000</v>
      </c>
      <c r="Q100" s="24"/>
      <c r="R100" s="28">
        <f>565000</f>
        <v>565000</v>
      </c>
      <c r="S100" s="28"/>
    </row>
    <row r="101" spans="1:19" s="1" customFormat="1" ht="24" customHeight="1">
      <c r="A101" s="22" t="s">
        <v>242</v>
      </c>
      <c r="B101" s="22"/>
      <c r="C101" s="22"/>
      <c r="D101" s="22"/>
      <c r="E101" s="22"/>
      <c r="F101" s="23" t="s">
        <v>113</v>
      </c>
      <c r="G101" s="23"/>
      <c r="H101" s="23"/>
      <c r="I101" s="24">
        <f>150000</f>
        <v>150000</v>
      </c>
      <c r="J101" s="24"/>
      <c r="K101" s="25">
        <f>550000</f>
        <v>550000</v>
      </c>
      <c r="L101" s="25"/>
      <c r="M101" s="13" t="s">
        <v>1</v>
      </c>
      <c r="N101" s="13" t="s">
        <v>134</v>
      </c>
      <c r="O101" s="14" t="s">
        <v>134</v>
      </c>
      <c r="P101" s="24">
        <f>150000</f>
        <v>150000</v>
      </c>
      <c r="Q101" s="24"/>
      <c r="R101" s="28">
        <f>550000</f>
        <v>550000</v>
      </c>
      <c r="S101" s="28"/>
    </row>
    <row r="102" spans="1:19" s="1" customFormat="1" ht="45" customHeight="1">
      <c r="A102" s="22" t="s">
        <v>243</v>
      </c>
      <c r="B102" s="22"/>
      <c r="C102" s="22"/>
      <c r="D102" s="22"/>
      <c r="E102" s="22"/>
      <c r="F102" s="23" t="s">
        <v>244</v>
      </c>
      <c r="G102" s="23"/>
      <c r="H102" s="23"/>
      <c r="I102" s="24">
        <f>10000</f>
        <v>10000</v>
      </c>
      <c r="J102" s="24"/>
      <c r="K102" s="25">
        <f>15000</f>
        <v>15000</v>
      </c>
      <c r="L102" s="25"/>
      <c r="M102" s="13" t="s">
        <v>1</v>
      </c>
      <c r="N102" s="13" t="s">
        <v>134</v>
      </c>
      <c r="O102" s="14" t="s">
        <v>134</v>
      </c>
      <c r="P102" s="24">
        <f>10000</f>
        <v>10000</v>
      </c>
      <c r="Q102" s="24"/>
      <c r="R102" s="28">
        <f>15000</f>
        <v>15000</v>
      </c>
      <c r="S102" s="28"/>
    </row>
    <row r="103" spans="1:19" s="1" customFormat="1" ht="66" customHeight="1">
      <c r="A103" s="22" t="s">
        <v>245</v>
      </c>
      <c r="B103" s="22"/>
      <c r="C103" s="22"/>
      <c r="D103" s="22"/>
      <c r="E103" s="22"/>
      <c r="F103" s="23" t="s">
        <v>101</v>
      </c>
      <c r="G103" s="23"/>
      <c r="H103" s="23"/>
      <c r="I103" s="24">
        <f>1689983.61</f>
        <v>1689983.61</v>
      </c>
      <c r="J103" s="24"/>
      <c r="K103" s="25">
        <f>2240544.83</f>
        <v>2240544.83</v>
      </c>
      <c r="L103" s="25"/>
      <c r="M103" s="12">
        <f>1680408.64</f>
        <v>1680408.64</v>
      </c>
      <c r="N103" s="13" t="s">
        <v>246</v>
      </c>
      <c r="O103" s="14" t="s">
        <v>247</v>
      </c>
      <c r="P103" s="24">
        <f>9574.97</f>
        <v>9574.97</v>
      </c>
      <c r="Q103" s="24"/>
      <c r="R103" s="28">
        <f>560136.19</f>
        <v>560136.19</v>
      </c>
      <c r="S103" s="28"/>
    </row>
    <row r="104" spans="1:19" s="1" customFormat="1" ht="13.5" customHeight="1">
      <c r="A104" s="22" t="s">
        <v>248</v>
      </c>
      <c r="B104" s="22"/>
      <c r="C104" s="22"/>
      <c r="D104" s="22"/>
      <c r="E104" s="22"/>
      <c r="F104" s="23" t="s">
        <v>103</v>
      </c>
      <c r="G104" s="23"/>
      <c r="H104" s="23"/>
      <c r="I104" s="24">
        <f>1689983.61</f>
        <v>1689983.61</v>
      </c>
      <c r="J104" s="24"/>
      <c r="K104" s="25">
        <f>2240544.83</f>
        <v>2240544.83</v>
      </c>
      <c r="L104" s="25"/>
      <c r="M104" s="12">
        <f>1680408.64</f>
        <v>1680408.64</v>
      </c>
      <c r="N104" s="13" t="s">
        <v>246</v>
      </c>
      <c r="O104" s="14" t="s">
        <v>247</v>
      </c>
      <c r="P104" s="24">
        <f>9574.97</f>
        <v>9574.97</v>
      </c>
      <c r="Q104" s="24"/>
      <c r="R104" s="28">
        <f>560136.19</f>
        <v>560136.19</v>
      </c>
      <c r="S104" s="28"/>
    </row>
    <row r="105" spans="1:19" s="1" customFormat="1" ht="13.5" customHeight="1">
      <c r="A105" s="22" t="s">
        <v>249</v>
      </c>
      <c r="B105" s="22"/>
      <c r="C105" s="22"/>
      <c r="D105" s="22"/>
      <c r="E105" s="22"/>
      <c r="F105" s="23" t="s">
        <v>250</v>
      </c>
      <c r="G105" s="23"/>
      <c r="H105" s="23"/>
      <c r="I105" s="24">
        <f>1600000</f>
        <v>1600000</v>
      </c>
      <c r="J105" s="24"/>
      <c r="K105" s="25">
        <f>1770000</f>
        <v>1770000</v>
      </c>
      <c r="L105" s="25"/>
      <c r="M105" s="12">
        <f>1165907.47</f>
        <v>1165907.47</v>
      </c>
      <c r="N105" s="13" t="s">
        <v>251</v>
      </c>
      <c r="O105" s="14" t="s">
        <v>252</v>
      </c>
      <c r="P105" s="24">
        <f>434092.53</f>
        <v>434092.53</v>
      </c>
      <c r="Q105" s="24"/>
      <c r="R105" s="28">
        <f>604092.53</f>
        <v>604092.53</v>
      </c>
      <c r="S105" s="28"/>
    </row>
    <row r="106" spans="1:19" s="1" customFormat="1" ht="13.5" customHeight="1">
      <c r="A106" s="22" t="s">
        <v>253</v>
      </c>
      <c r="B106" s="22"/>
      <c r="C106" s="22"/>
      <c r="D106" s="22"/>
      <c r="E106" s="22"/>
      <c r="F106" s="23" t="s">
        <v>109</v>
      </c>
      <c r="G106" s="23"/>
      <c r="H106" s="23"/>
      <c r="I106" s="24">
        <f>400000</f>
        <v>400000</v>
      </c>
      <c r="J106" s="24"/>
      <c r="K106" s="25">
        <f>400000</f>
        <v>400000</v>
      </c>
      <c r="L106" s="25"/>
      <c r="M106" s="12">
        <f>400000</f>
        <v>400000</v>
      </c>
      <c r="N106" s="13" t="s">
        <v>57</v>
      </c>
      <c r="O106" s="14" t="s">
        <v>57</v>
      </c>
      <c r="P106" s="26" t="s">
        <v>1</v>
      </c>
      <c r="Q106" s="26"/>
      <c r="R106" s="27" t="s">
        <v>1</v>
      </c>
      <c r="S106" s="27"/>
    </row>
    <row r="107" spans="1:19" s="1" customFormat="1" ht="24" customHeight="1">
      <c r="A107" s="22" t="s">
        <v>254</v>
      </c>
      <c r="B107" s="22"/>
      <c r="C107" s="22"/>
      <c r="D107" s="22"/>
      <c r="E107" s="22"/>
      <c r="F107" s="23" t="s">
        <v>113</v>
      </c>
      <c r="G107" s="23"/>
      <c r="H107" s="23"/>
      <c r="I107" s="24">
        <f>400000</f>
        <v>400000</v>
      </c>
      <c r="J107" s="24"/>
      <c r="K107" s="25">
        <f>400000</f>
        <v>400000</v>
      </c>
      <c r="L107" s="25"/>
      <c r="M107" s="12">
        <f>400000</f>
        <v>400000</v>
      </c>
      <c r="N107" s="13" t="s">
        <v>57</v>
      </c>
      <c r="O107" s="14" t="s">
        <v>57</v>
      </c>
      <c r="P107" s="26" t="s">
        <v>1</v>
      </c>
      <c r="Q107" s="26"/>
      <c r="R107" s="27" t="s">
        <v>1</v>
      </c>
      <c r="S107" s="27"/>
    </row>
    <row r="108" spans="1:19" s="1" customFormat="1" ht="13.5" customHeight="1">
      <c r="A108" s="22" t="s">
        <v>255</v>
      </c>
      <c r="B108" s="22"/>
      <c r="C108" s="22"/>
      <c r="D108" s="22"/>
      <c r="E108" s="22"/>
      <c r="F108" s="23" t="s">
        <v>109</v>
      </c>
      <c r="G108" s="23"/>
      <c r="H108" s="23"/>
      <c r="I108" s="24">
        <f>770000</f>
        <v>770000</v>
      </c>
      <c r="J108" s="24"/>
      <c r="K108" s="25">
        <f>770000</f>
        <v>770000</v>
      </c>
      <c r="L108" s="25"/>
      <c r="M108" s="12">
        <f>388453.07</f>
        <v>388453.07</v>
      </c>
      <c r="N108" s="13" t="s">
        <v>256</v>
      </c>
      <c r="O108" s="14" t="s">
        <v>256</v>
      </c>
      <c r="P108" s="24">
        <f>381546.93</f>
        <v>381546.93</v>
      </c>
      <c r="Q108" s="24"/>
      <c r="R108" s="28">
        <f>381546.93</f>
        <v>381546.93</v>
      </c>
      <c r="S108" s="28"/>
    </row>
    <row r="109" spans="1:19" s="1" customFormat="1" ht="24" customHeight="1">
      <c r="A109" s="22" t="s">
        <v>257</v>
      </c>
      <c r="B109" s="22"/>
      <c r="C109" s="22"/>
      <c r="D109" s="22"/>
      <c r="E109" s="22"/>
      <c r="F109" s="23" t="s">
        <v>113</v>
      </c>
      <c r="G109" s="23"/>
      <c r="H109" s="23"/>
      <c r="I109" s="24">
        <f>770000</f>
        <v>770000</v>
      </c>
      <c r="J109" s="24"/>
      <c r="K109" s="25">
        <f>770000</f>
        <v>770000</v>
      </c>
      <c r="L109" s="25"/>
      <c r="M109" s="12">
        <f>388453.07</f>
        <v>388453.07</v>
      </c>
      <c r="N109" s="13" t="s">
        <v>256</v>
      </c>
      <c r="O109" s="14" t="s">
        <v>256</v>
      </c>
      <c r="P109" s="24">
        <f>381546.93</f>
        <v>381546.93</v>
      </c>
      <c r="Q109" s="24"/>
      <c r="R109" s="28">
        <f>381546.93</f>
        <v>381546.93</v>
      </c>
      <c r="S109" s="28"/>
    </row>
    <row r="110" spans="1:19" s="1" customFormat="1" ht="13.5" customHeight="1">
      <c r="A110" s="22" t="s">
        <v>258</v>
      </c>
      <c r="B110" s="22"/>
      <c r="C110" s="22"/>
      <c r="D110" s="22"/>
      <c r="E110" s="22"/>
      <c r="F110" s="23" t="s">
        <v>109</v>
      </c>
      <c r="G110" s="23"/>
      <c r="H110" s="23"/>
      <c r="I110" s="24">
        <f>430000</f>
        <v>430000</v>
      </c>
      <c r="J110" s="24"/>
      <c r="K110" s="25">
        <f>600000</f>
        <v>600000</v>
      </c>
      <c r="L110" s="25"/>
      <c r="M110" s="12">
        <f>377454.4</f>
        <v>377454.4</v>
      </c>
      <c r="N110" s="13" t="s">
        <v>259</v>
      </c>
      <c r="O110" s="14" t="s">
        <v>260</v>
      </c>
      <c r="P110" s="24">
        <f>52545.6</f>
        <v>52545.6</v>
      </c>
      <c r="Q110" s="24"/>
      <c r="R110" s="28">
        <f>222545.6</f>
        <v>222545.6</v>
      </c>
      <c r="S110" s="28"/>
    </row>
    <row r="111" spans="1:19" s="1" customFormat="1" ht="24" customHeight="1">
      <c r="A111" s="22" t="s">
        <v>261</v>
      </c>
      <c r="B111" s="22"/>
      <c r="C111" s="22"/>
      <c r="D111" s="22"/>
      <c r="E111" s="22"/>
      <c r="F111" s="23" t="s">
        <v>113</v>
      </c>
      <c r="G111" s="23"/>
      <c r="H111" s="23"/>
      <c r="I111" s="24">
        <f>430000</f>
        <v>430000</v>
      </c>
      <c r="J111" s="24"/>
      <c r="K111" s="25">
        <f>600000</f>
        <v>600000</v>
      </c>
      <c r="L111" s="25"/>
      <c r="M111" s="12">
        <f>377454.4</f>
        <v>377454.4</v>
      </c>
      <c r="N111" s="13" t="s">
        <v>259</v>
      </c>
      <c r="O111" s="14" t="s">
        <v>260</v>
      </c>
      <c r="P111" s="24">
        <f>52545.6</f>
        <v>52545.6</v>
      </c>
      <c r="Q111" s="24"/>
      <c r="R111" s="28">
        <f>222545.6</f>
        <v>222545.6</v>
      </c>
      <c r="S111" s="28"/>
    </row>
    <row r="112" spans="1:19" s="1" customFormat="1" ht="13.5" customHeight="1">
      <c r="A112" s="22" t="s">
        <v>262</v>
      </c>
      <c r="B112" s="22"/>
      <c r="C112" s="22"/>
      <c r="D112" s="22"/>
      <c r="E112" s="22"/>
      <c r="F112" s="23" t="s">
        <v>263</v>
      </c>
      <c r="G112" s="23"/>
      <c r="H112" s="23"/>
      <c r="I112" s="24">
        <f>5374179.14</f>
        <v>5374179.14</v>
      </c>
      <c r="J112" s="24"/>
      <c r="K112" s="25">
        <f>5404179.14</f>
        <v>5404179.14</v>
      </c>
      <c r="L112" s="25"/>
      <c r="M112" s="12">
        <f>5133325.41</f>
        <v>5133325.41</v>
      </c>
      <c r="N112" s="13" t="s">
        <v>264</v>
      </c>
      <c r="O112" s="14" t="s">
        <v>265</v>
      </c>
      <c r="P112" s="24">
        <f>240853.73</f>
        <v>240853.73</v>
      </c>
      <c r="Q112" s="24"/>
      <c r="R112" s="28">
        <f>270853.73</f>
        <v>270853.73</v>
      </c>
      <c r="S112" s="28"/>
    </row>
    <row r="113" spans="1:19" s="1" customFormat="1" ht="13.5" customHeight="1">
      <c r="A113" s="22" t="s">
        <v>266</v>
      </c>
      <c r="B113" s="22"/>
      <c r="C113" s="22"/>
      <c r="D113" s="22"/>
      <c r="E113" s="22"/>
      <c r="F113" s="23" t="s">
        <v>109</v>
      </c>
      <c r="G113" s="23"/>
      <c r="H113" s="23"/>
      <c r="I113" s="24">
        <f>5374179.14</f>
        <v>5374179.14</v>
      </c>
      <c r="J113" s="24"/>
      <c r="K113" s="25">
        <f>5404179.14</f>
        <v>5404179.14</v>
      </c>
      <c r="L113" s="25"/>
      <c r="M113" s="12">
        <f>5133325.41</f>
        <v>5133325.41</v>
      </c>
      <c r="N113" s="13" t="s">
        <v>264</v>
      </c>
      <c r="O113" s="14" t="s">
        <v>265</v>
      </c>
      <c r="P113" s="24">
        <f>240853.73</f>
        <v>240853.73</v>
      </c>
      <c r="Q113" s="24"/>
      <c r="R113" s="28">
        <f>270853.73</f>
        <v>270853.73</v>
      </c>
      <c r="S113" s="28"/>
    </row>
    <row r="114" spans="1:19" s="1" customFormat="1" ht="24" customHeight="1">
      <c r="A114" s="22" t="s">
        <v>267</v>
      </c>
      <c r="B114" s="22"/>
      <c r="C114" s="22"/>
      <c r="D114" s="22"/>
      <c r="E114" s="22"/>
      <c r="F114" s="23" t="s">
        <v>113</v>
      </c>
      <c r="G114" s="23"/>
      <c r="H114" s="23"/>
      <c r="I114" s="24">
        <f>300000</f>
        <v>300000</v>
      </c>
      <c r="J114" s="24"/>
      <c r="K114" s="25">
        <f>300000</f>
        <v>300000</v>
      </c>
      <c r="L114" s="25"/>
      <c r="M114" s="12">
        <f>247810</f>
        <v>247810</v>
      </c>
      <c r="N114" s="13" t="s">
        <v>268</v>
      </c>
      <c r="O114" s="14" t="s">
        <v>268</v>
      </c>
      <c r="P114" s="24">
        <f>52190</f>
        <v>52190</v>
      </c>
      <c r="Q114" s="24"/>
      <c r="R114" s="28">
        <f>52190</f>
        <v>52190</v>
      </c>
      <c r="S114" s="28"/>
    </row>
    <row r="115" spans="1:19" s="1" customFormat="1" ht="54.75" customHeight="1">
      <c r="A115" s="22" t="s">
        <v>269</v>
      </c>
      <c r="B115" s="22"/>
      <c r="C115" s="22"/>
      <c r="D115" s="22"/>
      <c r="E115" s="22"/>
      <c r="F115" s="23" t="s">
        <v>270</v>
      </c>
      <c r="G115" s="23"/>
      <c r="H115" s="23"/>
      <c r="I115" s="24">
        <f>5074179.14</f>
        <v>5074179.14</v>
      </c>
      <c r="J115" s="24"/>
      <c r="K115" s="25">
        <f>5104179.14</f>
        <v>5104179.14</v>
      </c>
      <c r="L115" s="25"/>
      <c r="M115" s="12">
        <f>4885515.41</f>
        <v>4885515.41</v>
      </c>
      <c r="N115" s="13" t="s">
        <v>271</v>
      </c>
      <c r="O115" s="14" t="s">
        <v>272</v>
      </c>
      <c r="P115" s="24">
        <f>188663.73</f>
        <v>188663.73</v>
      </c>
      <c r="Q115" s="24"/>
      <c r="R115" s="28">
        <f>218663.73</f>
        <v>218663.73</v>
      </c>
      <c r="S115" s="28"/>
    </row>
    <row r="116" spans="1:19" s="1" customFormat="1" ht="13.5" customHeight="1">
      <c r="A116" s="22" t="s">
        <v>273</v>
      </c>
      <c r="B116" s="22"/>
      <c r="C116" s="22"/>
      <c r="D116" s="22"/>
      <c r="E116" s="22"/>
      <c r="F116" s="23" t="s">
        <v>274</v>
      </c>
      <c r="G116" s="23"/>
      <c r="H116" s="23"/>
      <c r="I116" s="24">
        <f>36286782.29</f>
        <v>36286782.29</v>
      </c>
      <c r="J116" s="24"/>
      <c r="K116" s="25">
        <f>39777043.13</f>
        <v>39777043.13</v>
      </c>
      <c r="L116" s="25"/>
      <c r="M116" s="12">
        <f>28862691.93</f>
        <v>28862691.93</v>
      </c>
      <c r="N116" s="13" t="s">
        <v>275</v>
      </c>
      <c r="O116" s="14" t="s">
        <v>276</v>
      </c>
      <c r="P116" s="24">
        <f>7424090.36</f>
        <v>7424090.36</v>
      </c>
      <c r="Q116" s="24"/>
      <c r="R116" s="28">
        <f>10914351.2</f>
        <v>10914351.2</v>
      </c>
      <c r="S116" s="28"/>
    </row>
    <row r="117" spans="1:19" s="1" customFormat="1" ht="33.75" customHeight="1">
      <c r="A117" s="22" t="s">
        <v>277</v>
      </c>
      <c r="B117" s="22"/>
      <c r="C117" s="22"/>
      <c r="D117" s="22"/>
      <c r="E117" s="22"/>
      <c r="F117" s="23" t="s">
        <v>278</v>
      </c>
      <c r="G117" s="23"/>
      <c r="H117" s="23"/>
      <c r="I117" s="24">
        <f>800000</f>
        <v>800000</v>
      </c>
      <c r="J117" s="24"/>
      <c r="K117" s="25">
        <f>800000</f>
        <v>800000</v>
      </c>
      <c r="L117" s="25"/>
      <c r="M117" s="12">
        <f>800000</f>
        <v>800000</v>
      </c>
      <c r="N117" s="13" t="s">
        <v>57</v>
      </c>
      <c r="O117" s="14" t="s">
        <v>57</v>
      </c>
      <c r="P117" s="26" t="s">
        <v>1</v>
      </c>
      <c r="Q117" s="26"/>
      <c r="R117" s="27" t="s">
        <v>1</v>
      </c>
      <c r="S117" s="27"/>
    </row>
    <row r="118" spans="1:19" s="1" customFormat="1" ht="24" customHeight="1">
      <c r="A118" s="22" t="s">
        <v>279</v>
      </c>
      <c r="B118" s="22"/>
      <c r="C118" s="22"/>
      <c r="D118" s="22"/>
      <c r="E118" s="22"/>
      <c r="F118" s="23" t="s">
        <v>113</v>
      </c>
      <c r="G118" s="23"/>
      <c r="H118" s="23"/>
      <c r="I118" s="24">
        <f>800000</f>
        <v>800000</v>
      </c>
      <c r="J118" s="24"/>
      <c r="K118" s="25">
        <f>800000</f>
        <v>800000</v>
      </c>
      <c r="L118" s="25"/>
      <c r="M118" s="12">
        <f>800000</f>
        <v>800000</v>
      </c>
      <c r="N118" s="13" t="s">
        <v>57</v>
      </c>
      <c r="O118" s="14" t="s">
        <v>57</v>
      </c>
      <c r="P118" s="26" t="s">
        <v>1</v>
      </c>
      <c r="Q118" s="26"/>
      <c r="R118" s="27" t="s">
        <v>1</v>
      </c>
      <c r="S118" s="27"/>
    </row>
    <row r="119" spans="1:19" s="1" customFormat="1" ht="33.75" customHeight="1">
      <c r="A119" s="22" t="s">
        <v>280</v>
      </c>
      <c r="B119" s="22"/>
      <c r="C119" s="22"/>
      <c r="D119" s="22"/>
      <c r="E119" s="22"/>
      <c r="F119" s="23" t="s">
        <v>281</v>
      </c>
      <c r="G119" s="23"/>
      <c r="H119" s="23"/>
      <c r="I119" s="24">
        <f>762100</f>
        <v>762100</v>
      </c>
      <c r="J119" s="24"/>
      <c r="K119" s="25">
        <f>762100</f>
        <v>762100</v>
      </c>
      <c r="L119" s="25"/>
      <c r="M119" s="13" t="s">
        <v>1</v>
      </c>
      <c r="N119" s="13" t="s">
        <v>134</v>
      </c>
      <c r="O119" s="14" t="s">
        <v>134</v>
      </c>
      <c r="P119" s="24">
        <f>762100</f>
        <v>762100</v>
      </c>
      <c r="Q119" s="24"/>
      <c r="R119" s="28">
        <f>762100</f>
        <v>762100</v>
      </c>
      <c r="S119" s="28"/>
    </row>
    <row r="120" spans="1:19" s="1" customFormat="1" ht="24" customHeight="1">
      <c r="A120" s="22" t="s">
        <v>282</v>
      </c>
      <c r="B120" s="22"/>
      <c r="C120" s="22"/>
      <c r="D120" s="22"/>
      <c r="E120" s="22"/>
      <c r="F120" s="23" t="s">
        <v>113</v>
      </c>
      <c r="G120" s="23"/>
      <c r="H120" s="23"/>
      <c r="I120" s="24">
        <f>762100</f>
        <v>762100</v>
      </c>
      <c r="J120" s="24"/>
      <c r="K120" s="25">
        <f>762100</f>
        <v>762100</v>
      </c>
      <c r="L120" s="25"/>
      <c r="M120" s="13" t="s">
        <v>1</v>
      </c>
      <c r="N120" s="13" t="s">
        <v>134</v>
      </c>
      <c r="O120" s="14" t="s">
        <v>134</v>
      </c>
      <c r="P120" s="24">
        <f>762100</f>
        <v>762100</v>
      </c>
      <c r="Q120" s="24"/>
      <c r="R120" s="28">
        <f>762100</f>
        <v>762100</v>
      </c>
      <c r="S120" s="28"/>
    </row>
    <row r="121" spans="1:19" s="1" customFormat="1" ht="13.5" customHeight="1">
      <c r="A121" s="22" t="s">
        <v>283</v>
      </c>
      <c r="B121" s="22"/>
      <c r="C121" s="22"/>
      <c r="D121" s="22"/>
      <c r="E121" s="22"/>
      <c r="F121" s="23" t="s">
        <v>109</v>
      </c>
      <c r="G121" s="23"/>
      <c r="H121" s="23"/>
      <c r="I121" s="24">
        <f>6052046.67</f>
        <v>6052046.67</v>
      </c>
      <c r="J121" s="24"/>
      <c r="K121" s="25">
        <f>6282515.96</f>
        <v>6282515.96</v>
      </c>
      <c r="L121" s="25"/>
      <c r="M121" s="12">
        <f>5666323.78</f>
        <v>5666323.78</v>
      </c>
      <c r="N121" s="13" t="s">
        <v>284</v>
      </c>
      <c r="O121" s="14" t="s">
        <v>285</v>
      </c>
      <c r="P121" s="24">
        <f>385722.89</f>
        <v>385722.89</v>
      </c>
      <c r="Q121" s="24"/>
      <c r="R121" s="28">
        <f>616192.18</f>
        <v>616192.18</v>
      </c>
      <c r="S121" s="28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113</v>
      </c>
      <c r="G122" s="23"/>
      <c r="H122" s="23"/>
      <c r="I122" s="24">
        <f>6052046.67</f>
        <v>6052046.67</v>
      </c>
      <c r="J122" s="24"/>
      <c r="K122" s="25">
        <f>6282515.96</f>
        <v>6282515.96</v>
      </c>
      <c r="L122" s="25"/>
      <c r="M122" s="12">
        <f>5666323.78</f>
        <v>5666323.78</v>
      </c>
      <c r="N122" s="13" t="s">
        <v>284</v>
      </c>
      <c r="O122" s="14" t="s">
        <v>285</v>
      </c>
      <c r="P122" s="24">
        <f>385722.89</f>
        <v>385722.89</v>
      </c>
      <c r="Q122" s="24"/>
      <c r="R122" s="28">
        <f>616192.18</f>
        <v>616192.18</v>
      </c>
      <c r="S122" s="28"/>
    </row>
    <row r="123" spans="1:19" s="1" customFormat="1" ht="96.75" customHeight="1">
      <c r="A123" s="22" t="s">
        <v>287</v>
      </c>
      <c r="B123" s="22"/>
      <c r="C123" s="22"/>
      <c r="D123" s="22"/>
      <c r="E123" s="22"/>
      <c r="F123" s="23" t="s">
        <v>288</v>
      </c>
      <c r="G123" s="23"/>
      <c r="H123" s="23"/>
      <c r="I123" s="24">
        <f>3663616.4</f>
        <v>3663616.4</v>
      </c>
      <c r="J123" s="24"/>
      <c r="K123" s="25">
        <f>3663616.4</f>
        <v>3663616.4</v>
      </c>
      <c r="L123" s="25"/>
      <c r="M123" s="12">
        <f>3663616.4</f>
        <v>3663616.4</v>
      </c>
      <c r="N123" s="13" t="s">
        <v>57</v>
      </c>
      <c r="O123" s="14" t="s">
        <v>57</v>
      </c>
      <c r="P123" s="26" t="s">
        <v>1</v>
      </c>
      <c r="Q123" s="26"/>
      <c r="R123" s="27" t="s">
        <v>1</v>
      </c>
      <c r="S123" s="27"/>
    </row>
    <row r="124" spans="1:19" s="1" customFormat="1" ht="24" customHeight="1">
      <c r="A124" s="22" t="s">
        <v>289</v>
      </c>
      <c r="B124" s="22"/>
      <c r="C124" s="22"/>
      <c r="D124" s="22"/>
      <c r="E124" s="22"/>
      <c r="F124" s="23" t="s">
        <v>113</v>
      </c>
      <c r="G124" s="23"/>
      <c r="H124" s="23"/>
      <c r="I124" s="24">
        <f>3663616.4</f>
        <v>3663616.4</v>
      </c>
      <c r="J124" s="24"/>
      <c r="K124" s="25">
        <f>3663616.4</f>
        <v>3663616.4</v>
      </c>
      <c r="L124" s="25"/>
      <c r="M124" s="12">
        <f>3663616.4</f>
        <v>3663616.4</v>
      </c>
      <c r="N124" s="13" t="s">
        <v>57</v>
      </c>
      <c r="O124" s="14" t="s">
        <v>57</v>
      </c>
      <c r="P124" s="26" t="s">
        <v>1</v>
      </c>
      <c r="Q124" s="26"/>
      <c r="R124" s="27" t="s">
        <v>1</v>
      </c>
      <c r="S124" s="27"/>
    </row>
    <row r="125" spans="1:19" s="1" customFormat="1" ht="13.5" customHeight="1">
      <c r="A125" s="22" t="s">
        <v>290</v>
      </c>
      <c r="B125" s="22"/>
      <c r="C125" s="22"/>
      <c r="D125" s="22"/>
      <c r="E125" s="22"/>
      <c r="F125" s="23" t="s">
        <v>109</v>
      </c>
      <c r="G125" s="23"/>
      <c r="H125" s="23"/>
      <c r="I125" s="24">
        <f>8412921.67</f>
        <v>8412921.67</v>
      </c>
      <c r="J125" s="24"/>
      <c r="K125" s="25">
        <f>9424184.66</f>
        <v>9424184.66</v>
      </c>
      <c r="L125" s="25"/>
      <c r="M125" s="12">
        <f>8247420.6</f>
        <v>8247420.6</v>
      </c>
      <c r="N125" s="13" t="s">
        <v>291</v>
      </c>
      <c r="O125" s="14" t="s">
        <v>292</v>
      </c>
      <c r="P125" s="24">
        <f>165501.07</f>
        <v>165501.07</v>
      </c>
      <c r="Q125" s="24"/>
      <c r="R125" s="28">
        <f>1176764.06</f>
        <v>1176764.06</v>
      </c>
      <c r="S125" s="28"/>
    </row>
    <row r="126" spans="1:19" s="1" customFormat="1" ht="24" customHeight="1">
      <c r="A126" s="22" t="s">
        <v>293</v>
      </c>
      <c r="B126" s="22"/>
      <c r="C126" s="22"/>
      <c r="D126" s="22"/>
      <c r="E126" s="22"/>
      <c r="F126" s="23" t="s">
        <v>113</v>
      </c>
      <c r="G126" s="23"/>
      <c r="H126" s="23"/>
      <c r="I126" s="24">
        <f>8412921.67</f>
        <v>8412921.67</v>
      </c>
      <c r="J126" s="24"/>
      <c r="K126" s="25">
        <f>9424184.66</f>
        <v>9424184.66</v>
      </c>
      <c r="L126" s="25"/>
      <c r="M126" s="12">
        <f>8247420.6</f>
        <v>8247420.6</v>
      </c>
      <c r="N126" s="13" t="s">
        <v>291</v>
      </c>
      <c r="O126" s="14" t="s">
        <v>292</v>
      </c>
      <c r="P126" s="24">
        <f>165501.07</f>
        <v>165501.07</v>
      </c>
      <c r="Q126" s="24"/>
      <c r="R126" s="28">
        <f>1176764.06</f>
        <v>1176764.06</v>
      </c>
      <c r="S126" s="28"/>
    </row>
    <row r="127" spans="1:19" s="1" customFormat="1" ht="13.5" customHeight="1">
      <c r="A127" s="22" t="s">
        <v>294</v>
      </c>
      <c r="B127" s="22"/>
      <c r="C127" s="22"/>
      <c r="D127" s="22"/>
      <c r="E127" s="22"/>
      <c r="F127" s="23" t="s">
        <v>109</v>
      </c>
      <c r="G127" s="23"/>
      <c r="H127" s="23"/>
      <c r="I127" s="24">
        <f>2956072.16</f>
        <v>2956072.16</v>
      </c>
      <c r="J127" s="24"/>
      <c r="K127" s="25">
        <f>4139973.23</f>
        <v>4139973.23</v>
      </c>
      <c r="L127" s="25"/>
      <c r="M127" s="12">
        <f>2479378.84</f>
        <v>2479378.84</v>
      </c>
      <c r="N127" s="13" t="s">
        <v>295</v>
      </c>
      <c r="O127" s="14" t="s">
        <v>296</v>
      </c>
      <c r="P127" s="24">
        <f>476693.32</f>
        <v>476693.32</v>
      </c>
      <c r="Q127" s="24"/>
      <c r="R127" s="28">
        <f>1660594.39</f>
        <v>1660594.39</v>
      </c>
      <c r="S127" s="28"/>
    </row>
    <row r="128" spans="1:19" s="1" customFormat="1" ht="24" customHeight="1">
      <c r="A128" s="22" t="s">
        <v>297</v>
      </c>
      <c r="B128" s="22"/>
      <c r="C128" s="22"/>
      <c r="D128" s="22"/>
      <c r="E128" s="22"/>
      <c r="F128" s="23" t="s">
        <v>113</v>
      </c>
      <c r="G128" s="23"/>
      <c r="H128" s="23"/>
      <c r="I128" s="24">
        <f>2956072.16</f>
        <v>2956072.16</v>
      </c>
      <c r="J128" s="24"/>
      <c r="K128" s="25">
        <f>4139973.23</f>
        <v>4139973.23</v>
      </c>
      <c r="L128" s="25"/>
      <c r="M128" s="12">
        <f>2479378.84</f>
        <v>2479378.84</v>
      </c>
      <c r="N128" s="13" t="s">
        <v>295</v>
      </c>
      <c r="O128" s="14" t="s">
        <v>296</v>
      </c>
      <c r="P128" s="24">
        <f>476693.32</f>
        <v>476693.32</v>
      </c>
      <c r="Q128" s="24"/>
      <c r="R128" s="28">
        <f>1660594.39</f>
        <v>1660594.39</v>
      </c>
      <c r="S128" s="28"/>
    </row>
    <row r="129" spans="1:19" s="1" customFormat="1" ht="13.5" customHeight="1">
      <c r="A129" s="22" t="s">
        <v>298</v>
      </c>
      <c r="B129" s="22"/>
      <c r="C129" s="22"/>
      <c r="D129" s="22"/>
      <c r="E129" s="22"/>
      <c r="F129" s="23" t="s">
        <v>109</v>
      </c>
      <c r="G129" s="23"/>
      <c r="H129" s="23"/>
      <c r="I129" s="24">
        <f>4198414.83</f>
        <v>4198414.83</v>
      </c>
      <c r="J129" s="24"/>
      <c r="K129" s="25">
        <f>5263042.32</f>
        <v>5263042.32</v>
      </c>
      <c r="L129" s="25"/>
      <c r="M129" s="12">
        <f>3598259.97</f>
        <v>3598259.97</v>
      </c>
      <c r="N129" s="13" t="s">
        <v>299</v>
      </c>
      <c r="O129" s="14" t="s">
        <v>300</v>
      </c>
      <c r="P129" s="24">
        <f>600154.86</f>
        <v>600154.86</v>
      </c>
      <c r="Q129" s="24"/>
      <c r="R129" s="28">
        <f>1664782.35</f>
        <v>1664782.35</v>
      </c>
      <c r="S129" s="28"/>
    </row>
    <row r="130" spans="1:19" s="1" customFormat="1" ht="24" customHeight="1">
      <c r="A130" s="22" t="s">
        <v>301</v>
      </c>
      <c r="B130" s="22"/>
      <c r="C130" s="22"/>
      <c r="D130" s="22"/>
      <c r="E130" s="22"/>
      <c r="F130" s="23" t="s">
        <v>113</v>
      </c>
      <c r="G130" s="23"/>
      <c r="H130" s="23"/>
      <c r="I130" s="24">
        <f>2148387.66</f>
        <v>2148387.66</v>
      </c>
      <c r="J130" s="24"/>
      <c r="K130" s="25">
        <f>2208387.66</f>
        <v>2208387.66</v>
      </c>
      <c r="L130" s="25"/>
      <c r="M130" s="12">
        <f>1962910.75</f>
        <v>1962910.75</v>
      </c>
      <c r="N130" s="13" t="s">
        <v>302</v>
      </c>
      <c r="O130" s="14" t="s">
        <v>303</v>
      </c>
      <c r="P130" s="24">
        <f>185476.91</f>
        <v>185476.91</v>
      </c>
      <c r="Q130" s="24"/>
      <c r="R130" s="28">
        <f>245476.91</f>
        <v>245476.91</v>
      </c>
      <c r="S130" s="28"/>
    </row>
    <row r="131" spans="1:19" s="1" customFormat="1" ht="13.5" customHeight="1">
      <c r="A131" s="22" t="s">
        <v>304</v>
      </c>
      <c r="B131" s="22"/>
      <c r="C131" s="22"/>
      <c r="D131" s="22"/>
      <c r="E131" s="22"/>
      <c r="F131" s="23" t="s">
        <v>117</v>
      </c>
      <c r="G131" s="23"/>
      <c r="H131" s="23"/>
      <c r="I131" s="24">
        <f>2050027.17</f>
        <v>2050027.17</v>
      </c>
      <c r="J131" s="24"/>
      <c r="K131" s="25">
        <f>3054654.66</f>
        <v>3054654.66</v>
      </c>
      <c r="L131" s="25"/>
      <c r="M131" s="12">
        <f>1635349.22</f>
        <v>1635349.22</v>
      </c>
      <c r="N131" s="13" t="s">
        <v>305</v>
      </c>
      <c r="O131" s="14" t="s">
        <v>306</v>
      </c>
      <c r="P131" s="24">
        <f>414677.95</f>
        <v>414677.95</v>
      </c>
      <c r="Q131" s="24"/>
      <c r="R131" s="28">
        <f>1419305.44</f>
        <v>1419305.44</v>
      </c>
      <c r="S131" s="28"/>
    </row>
    <row r="132" spans="1:19" s="1" customFormat="1" ht="13.5" customHeight="1">
      <c r="A132" s="22" t="s">
        <v>307</v>
      </c>
      <c r="B132" s="22"/>
      <c r="C132" s="22"/>
      <c r="D132" s="22"/>
      <c r="E132" s="22"/>
      <c r="F132" s="23" t="s">
        <v>109</v>
      </c>
      <c r="G132" s="23"/>
      <c r="H132" s="23"/>
      <c r="I132" s="24">
        <f>100000</f>
        <v>100000</v>
      </c>
      <c r="J132" s="24"/>
      <c r="K132" s="25">
        <f>100000</f>
        <v>100000</v>
      </c>
      <c r="L132" s="25"/>
      <c r="M132" s="13" t="s">
        <v>1</v>
      </c>
      <c r="N132" s="13" t="s">
        <v>134</v>
      </c>
      <c r="O132" s="14" t="s">
        <v>134</v>
      </c>
      <c r="P132" s="24">
        <f>100000</f>
        <v>100000</v>
      </c>
      <c r="Q132" s="24"/>
      <c r="R132" s="28">
        <f>100000</f>
        <v>100000</v>
      </c>
      <c r="S132" s="28"/>
    </row>
    <row r="133" spans="1:19" s="1" customFormat="1" ht="24" customHeight="1">
      <c r="A133" s="22" t="s">
        <v>308</v>
      </c>
      <c r="B133" s="22"/>
      <c r="C133" s="22"/>
      <c r="D133" s="22"/>
      <c r="E133" s="22"/>
      <c r="F133" s="23" t="s">
        <v>113</v>
      </c>
      <c r="G133" s="23"/>
      <c r="H133" s="23"/>
      <c r="I133" s="24">
        <f>100000</f>
        <v>100000</v>
      </c>
      <c r="J133" s="24"/>
      <c r="K133" s="25">
        <f>100000</f>
        <v>100000</v>
      </c>
      <c r="L133" s="25"/>
      <c r="M133" s="13" t="s">
        <v>1</v>
      </c>
      <c r="N133" s="13" t="s">
        <v>134</v>
      </c>
      <c r="O133" s="14" t="s">
        <v>134</v>
      </c>
      <c r="P133" s="24">
        <f>100000</f>
        <v>100000</v>
      </c>
      <c r="Q133" s="24"/>
      <c r="R133" s="28">
        <f>100000</f>
        <v>100000</v>
      </c>
      <c r="S133" s="28"/>
    </row>
    <row r="134" spans="1:19" s="1" customFormat="1" ht="45" customHeight="1">
      <c r="A134" s="22" t="s">
        <v>309</v>
      </c>
      <c r="B134" s="22"/>
      <c r="C134" s="22"/>
      <c r="D134" s="22"/>
      <c r="E134" s="22"/>
      <c r="F134" s="23" t="s">
        <v>310</v>
      </c>
      <c r="G134" s="23"/>
      <c r="H134" s="23"/>
      <c r="I134" s="24">
        <f>1728500.4</f>
        <v>1728500.4</v>
      </c>
      <c r="J134" s="24"/>
      <c r="K134" s="25">
        <f>1728500.4</f>
        <v>1728500.4</v>
      </c>
      <c r="L134" s="25"/>
      <c r="M134" s="13" t="s">
        <v>1</v>
      </c>
      <c r="N134" s="13" t="s">
        <v>134</v>
      </c>
      <c r="O134" s="14" t="s">
        <v>134</v>
      </c>
      <c r="P134" s="24">
        <f>1728500.4</f>
        <v>1728500.4</v>
      </c>
      <c r="Q134" s="24"/>
      <c r="R134" s="28">
        <f>1728500.4</f>
        <v>1728500.4</v>
      </c>
      <c r="S134" s="28"/>
    </row>
    <row r="135" spans="1:19" s="1" customFormat="1" ht="24" customHeight="1">
      <c r="A135" s="22" t="s">
        <v>311</v>
      </c>
      <c r="B135" s="22"/>
      <c r="C135" s="22"/>
      <c r="D135" s="22"/>
      <c r="E135" s="22"/>
      <c r="F135" s="23" t="s">
        <v>113</v>
      </c>
      <c r="G135" s="23"/>
      <c r="H135" s="23"/>
      <c r="I135" s="24">
        <f>1728500.4</f>
        <v>1728500.4</v>
      </c>
      <c r="J135" s="24"/>
      <c r="K135" s="25">
        <f>1728500.4</f>
        <v>1728500.4</v>
      </c>
      <c r="L135" s="25"/>
      <c r="M135" s="13" t="s">
        <v>1</v>
      </c>
      <c r="N135" s="13" t="s">
        <v>134</v>
      </c>
      <c r="O135" s="14" t="s">
        <v>134</v>
      </c>
      <c r="P135" s="24">
        <f>1728500.4</f>
        <v>1728500.4</v>
      </c>
      <c r="Q135" s="24"/>
      <c r="R135" s="28">
        <f>1728500.4</f>
        <v>1728500.4</v>
      </c>
      <c r="S135" s="28"/>
    </row>
    <row r="136" spans="1:19" s="1" customFormat="1" ht="33.75" customHeight="1">
      <c r="A136" s="22" t="s">
        <v>312</v>
      </c>
      <c r="B136" s="22"/>
      <c r="C136" s="22"/>
      <c r="D136" s="22"/>
      <c r="E136" s="22"/>
      <c r="F136" s="23" t="s">
        <v>313</v>
      </c>
      <c r="G136" s="23"/>
      <c r="H136" s="23"/>
      <c r="I136" s="24">
        <f>2243800</f>
        <v>2243800</v>
      </c>
      <c r="J136" s="24"/>
      <c r="K136" s="25">
        <f>2243800</f>
        <v>2243800</v>
      </c>
      <c r="L136" s="25"/>
      <c r="M136" s="13" t="s">
        <v>1</v>
      </c>
      <c r="N136" s="13" t="s">
        <v>134</v>
      </c>
      <c r="O136" s="14" t="s">
        <v>134</v>
      </c>
      <c r="P136" s="24">
        <f>2243800</f>
        <v>2243800</v>
      </c>
      <c r="Q136" s="24"/>
      <c r="R136" s="28">
        <f>2243800</f>
        <v>2243800</v>
      </c>
      <c r="S136" s="28"/>
    </row>
    <row r="137" spans="1:19" s="1" customFormat="1" ht="24" customHeight="1">
      <c r="A137" s="22" t="s">
        <v>314</v>
      </c>
      <c r="B137" s="22"/>
      <c r="C137" s="22"/>
      <c r="D137" s="22"/>
      <c r="E137" s="22"/>
      <c r="F137" s="23" t="s">
        <v>113</v>
      </c>
      <c r="G137" s="23"/>
      <c r="H137" s="23"/>
      <c r="I137" s="24">
        <f>2243800</f>
        <v>2243800</v>
      </c>
      <c r="J137" s="24"/>
      <c r="K137" s="25">
        <f>2243800</f>
        <v>2243800</v>
      </c>
      <c r="L137" s="25"/>
      <c r="M137" s="13" t="s">
        <v>1</v>
      </c>
      <c r="N137" s="13" t="s">
        <v>134</v>
      </c>
      <c r="O137" s="14" t="s">
        <v>134</v>
      </c>
      <c r="P137" s="24">
        <f>2243800</f>
        <v>2243800</v>
      </c>
      <c r="Q137" s="24"/>
      <c r="R137" s="28">
        <f>2243800</f>
        <v>2243800</v>
      </c>
      <c r="S137" s="28"/>
    </row>
    <row r="138" spans="1:19" s="1" customFormat="1" ht="33.75" customHeight="1">
      <c r="A138" s="22" t="s">
        <v>315</v>
      </c>
      <c r="B138" s="22"/>
      <c r="C138" s="22"/>
      <c r="D138" s="22"/>
      <c r="E138" s="22"/>
      <c r="F138" s="23" t="s">
        <v>316</v>
      </c>
      <c r="G138" s="23"/>
      <c r="H138" s="23"/>
      <c r="I138" s="24">
        <f>961617.82</f>
        <v>961617.82</v>
      </c>
      <c r="J138" s="24"/>
      <c r="K138" s="25">
        <f>961617.82</f>
        <v>961617.82</v>
      </c>
      <c r="L138" s="25"/>
      <c r="M138" s="13" t="s">
        <v>1</v>
      </c>
      <c r="N138" s="13" t="s">
        <v>134</v>
      </c>
      <c r="O138" s="14" t="s">
        <v>134</v>
      </c>
      <c r="P138" s="24">
        <f>961617.82</f>
        <v>961617.82</v>
      </c>
      <c r="Q138" s="24"/>
      <c r="R138" s="28">
        <f>961617.82</f>
        <v>961617.82</v>
      </c>
      <c r="S138" s="28"/>
    </row>
    <row r="139" spans="1:19" s="1" customFormat="1" ht="24" customHeight="1">
      <c r="A139" s="22" t="s">
        <v>317</v>
      </c>
      <c r="B139" s="22"/>
      <c r="C139" s="22"/>
      <c r="D139" s="22"/>
      <c r="E139" s="22"/>
      <c r="F139" s="23" t="s">
        <v>113</v>
      </c>
      <c r="G139" s="23"/>
      <c r="H139" s="23"/>
      <c r="I139" s="24">
        <f>961617.82</f>
        <v>961617.82</v>
      </c>
      <c r="J139" s="24"/>
      <c r="K139" s="25">
        <f>961617.82</f>
        <v>961617.82</v>
      </c>
      <c r="L139" s="25"/>
      <c r="M139" s="13" t="s">
        <v>1</v>
      </c>
      <c r="N139" s="13" t="s">
        <v>134</v>
      </c>
      <c r="O139" s="14" t="s">
        <v>134</v>
      </c>
      <c r="P139" s="24">
        <f>961617.82</f>
        <v>961617.82</v>
      </c>
      <c r="Q139" s="24"/>
      <c r="R139" s="28">
        <f>961617.82</f>
        <v>961617.82</v>
      </c>
      <c r="S139" s="28"/>
    </row>
    <row r="140" spans="1:19" s="1" customFormat="1" ht="24" customHeight="1">
      <c r="A140" s="22" t="s">
        <v>318</v>
      </c>
      <c r="B140" s="22"/>
      <c r="C140" s="22"/>
      <c r="D140" s="22"/>
      <c r="E140" s="22"/>
      <c r="F140" s="23" t="s">
        <v>319</v>
      </c>
      <c r="G140" s="23"/>
      <c r="H140" s="23"/>
      <c r="I140" s="24">
        <f>3673076.94</f>
        <v>3673076.94</v>
      </c>
      <c r="J140" s="24"/>
      <c r="K140" s="25">
        <f>3673076.94</f>
        <v>3673076.94</v>
      </c>
      <c r="L140" s="25"/>
      <c r="M140" s="12">
        <f>3673076.94</f>
        <v>3673076.94</v>
      </c>
      <c r="N140" s="13" t="s">
        <v>57</v>
      </c>
      <c r="O140" s="14" t="s">
        <v>57</v>
      </c>
      <c r="P140" s="26" t="s">
        <v>1</v>
      </c>
      <c r="Q140" s="26"/>
      <c r="R140" s="27" t="s">
        <v>1</v>
      </c>
      <c r="S140" s="27"/>
    </row>
    <row r="141" spans="1:19" s="1" customFormat="1" ht="24" customHeight="1">
      <c r="A141" s="22" t="s">
        <v>320</v>
      </c>
      <c r="B141" s="22"/>
      <c r="C141" s="22"/>
      <c r="D141" s="22"/>
      <c r="E141" s="22"/>
      <c r="F141" s="23" t="s">
        <v>113</v>
      </c>
      <c r="G141" s="23"/>
      <c r="H141" s="23"/>
      <c r="I141" s="24">
        <f>3673076.94</f>
        <v>3673076.94</v>
      </c>
      <c r="J141" s="24"/>
      <c r="K141" s="25">
        <f>3673076.94</f>
        <v>3673076.94</v>
      </c>
      <c r="L141" s="25"/>
      <c r="M141" s="12">
        <f>3673076.94</f>
        <v>3673076.94</v>
      </c>
      <c r="N141" s="13" t="s">
        <v>57</v>
      </c>
      <c r="O141" s="14" t="s">
        <v>57</v>
      </c>
      <c r="P141" s="26" t="s">
        <v>1</v>
      </c>
      <c r="Q141" s="26"/>
      <c r="R141" s="27" t="s">
        <v>1</v>
      </c>
      <c r="S141" s="27"/>
    </row>
    <row r="142" spans="1:19" s="1" customFormat="1" ht="66" customHeight="1">
      <c r="A142" s="22" t="s">
        <v>321</v>
      </c>
      <c r="B142" s="22"/>
      <c r="C142" s="22"/>
      <c r="D142" s="22"/>
      <c r="E142" s="22"/>
      <c r="F142" s="23" t="s">
        <v>101</v>
      </c>
      <c r="G142" s="23"/>
      <c r="H142" s="23"/>
      <c r="I142" s="24">
        <f>734615.4</f>
        <v>734615.4</v>
      </c>
      <c r="J142" s="24"/>
      <c r="K142" s="25">
        <f>734615.4</f>
        <v>734615.4</v>
      </c>
      <c r="L142" s="25"/>
      <c r="M142" s="12">
        <f>734615.4</f>
        <v>734615.4</v>
      </c>
      <c r="N142" s="13" t="s">
        <v>57</v>
      </c>
      <c r="O142" s="14" t="s">
        <v>57</v>
      </c>
      <c r="P142" s="26" t="s">
        <v>1</v>
      </c>
      <c r="Q142" s="26"/>
      <c r="R142" s="27" t="s">
        <v>1</v>
      </c>
      <c r="S142" s="27"/>
    </row>
    <row r="143" spans="1:19" s="1" customFormat="1" ht="13.5" customHeight="1">
      <c r="A143" s="22" t="s">
        <v>322</v>
      </c>
      <c r="B143" s="22"/>
      <c r="C143" s="22"/>
      <c r="D143" s="22"/>
      <c r="E143" s="22"/>
      <c r="F143" s="23" t="s">
        <v>103</v>
      </c>
      <c r="G143" s="23"/>
      <c r="H143" s="23"/>
      <c r="I143" s="24">
        <f>734615.4</f>
        <v>734615.4</v>
      </c>
      <c r="J143" s="24"/>
      <c r="K143" s="25">
        <f>734615.4</f>
        <v>734615.4</v>
      </c>
      <c r="L143" s="25"/>
      <c r="M143" s="12">
        <f>734615.4</f>
        <v>734615.4</v>
      </c>
      <c r="N143" s="13" t="s">
        <v>57</v>
      </c>
      <c r="O143" s="14" t="s">
        <v>57</v>
      </c>
      <c r="P143" s="26" t="s">
        <v>1</v>
      </c>
      <c r="Q143" s="26"/>
      <c r="R143" s="27" t="s">
        <v>1</v>
      </c>
      <c r="S143" s="27"/>
    </row>
    <row r="144" spans="1:19" s="1" customFormat="1" ht="13.5" customHeight="1">
      <c r="A144" s="22" t="s">
        <v>323</v>
      </c>
      <c r="B144" s="22"/>
      <c r="C144" s="22"/>
      <c r="D144" s="22"/>
      <c r="E144" s="22"/>
      <c r="F144" s="23" t="s">
        <v>324</v>
      </c>
      <c r="G144" s="23"/>
      <c r="H144" s="23"/>
      <c r="I144" s="24">
        <f>766137.44</f>
        <v>766137.44</v>
      </c>
      <c r="J144" s="24"/>
      <c r="K144" s="25">
        <f>766137.44</f>
        <v>766137.44</v>
      </c>
      <c r="L144" s="25"/>
      <c r="M144" s="12">
        <f>738811.96</f>
        <v>738811.96</v>
      </c>
      <c r="N144" s="13" t="s">
        <v>325</v>
      </c>
      <c r="O144" s="14" t="s">
        <v>325</v>
      </c>
      <c r="P144" s="24">
        <f>27325.48</f>
        <v>27325.48</v>
      </c>
      <c r="Q144" s="24"/>
      <c r="R144" s="28">
        <f>27325.48</f>
        <v>27325.48</v>
      </c>
      <c r="S144" s="28"/>
    </row>
    <row r="145" spans="1:19" s="1" customFormat="1" ht="45" customHeight="1">
      <c r="A145" s="22" t="s">
        <v>326</v>
      </c>
      <c r="B145" s="22"/>
      <c r="C145" s="22"/>
      <c r="D145" s="22"/>
      <c r="E145" s="22"/>
      <c r="F145" s="23" t="s">
        <v>327</v>
      </c>
      <c r="G145" s="23"/>
      <c r="H145" s="23"/>
      <c r="I145" s="24">
        <f>718137.44</f>
        <v>718137.44</v>
      </c>
      <c r="J145" s="24"/>
      <c r="K145" s="25">
        <f>718137.44</f>
        <v>718137.44</v>
      </c>
      <c r="L145" s="25"/>
      <c r="M145" s="12">
        <f>690811.96</f>
        <v>690811.96</v>
      </c>
      <c r="N145" s="13" t="s">
        <v>328</v>
      </c>
      <c r="O145" s="14" t="s">
        <v>328</v>
      </c>
      <c r="P145" s="24">
        <f>27325.48</f>
        <v>27325.48</v>
      </c>
      <c r="Q145" s="24"/>
      <c r="R145" s="28">
        <f>27325.48</f>
        <v>27325.48</v>
      </c>
      <c r="S145" s="28"/>
    </row>
    <row r="146" spans="1:19" s="1" customFormat="1" ht="13.5" customHeight="1">
      <c r="A146" s="22" t="s">
        <v>329</v>
      </c>
      <c r="B146" s="22"/>
      <c r="C146" s="22"/>
      <c r="D146" s="22"/>
      <c r="E146" s="22"/>
      <c r="F146" s="23" t="s">
        <v>202</v>
      </c>
      <c r="G146" s="23"/>
      <c r="H146" s="23"/>
      <c r="I146" s="24">
        <f>718137.44</f>
        <v>718137.44</v>
      </c>
      <c r="J146" s="24"/>
      <c r="K146" s="25">
        <f>718137.44</f>
        <v>718137.44</v>
      </c>
      <c r="L146" s="25"/>
      <c r="M146" s="12">
        <f>690811.96</f>
        <v>690811.96</v>
      </c>
      <c r="N146" s="13" t="s">
        <v>328</v>
      </c>
      <c r="O146" s="14" t="s">
        <v>328</v>
      </c>
      <c r="P146" s="24">
        <f>27325.48</f>
        <v>27325.48</v>
      </c>
      <c r="Q146" s="24"/>
      <c r="R146" s="28">
        <f>27325.48</f>
        <v>27325.48</v>
      </c>
      <c r="S146" s="28"/>
    </row>
    <row r="147" spans="1:19" s="1" customFormat="1" ht="33.75" customHeight="1">
      <c r="A147" s="22" t="s">
        <v>330</v>
      </c>
      <c r="B147" s="22"/>
      <c r="C147" s="22"/>
      <c r="D147" s="22"/>
      <c r="E147" s="22"/>
      <c r="F147" s="23" t="s">
        <v>331</v>
      </c>
      <c r="G147" s="23"/>
      <c r="H147" s="23"/>
      <c r="I147" s="24">
        <f>48000</f>
        <v>48000</v>
      </c>
      <c r="J147" s="24"/>
      <c r="K147" s="25">
        <f>48000</f>
        <v>48000</v>
      </c>
      <c r="L147" s="25"/>
      <c r="M147" s="12">
        <f>48000</f>
        <v>48000</v>
      </c>
      <c r="N147" s="13" t="s">
        <v>57</v>
      </c>
      <c r="O147" s="14" t="s">
        <v>57</v>
      </c>
      <c r="P147" s="26" t="s">
        <v>1</v>
      </c>
      <c r="Q147" s="26"/>
      <c r="R147" s="27" t="s">
        <v>1</v>
      </c>
      <c r="S147" s="27"/>
    </row>
    <row r="148" spans="1:19" s="1" customFormat="1" ht="13.5" customHeight="1">
      <c r="A148" s="22" t="s">
        <v>332</v>
      </c>
      <c r="B148" s="22"/>
      <c r="C148" s="22"/>
      <c r="D148" s="22"/>
      <c r="E148" s="22"/>
      <c r="F148" s="23" t="s">
        <v>202</v>
      </c>
      <c r="G148" s="23"/>
      <c r="H148" s="23"/>
      <c r="I148" s="24">
        <f>48000</f>
        <v>48000</v>
      </c>
      <c r="J148" s="24"/>
      <c r="K148" s="25">
        <f>48000</f>
        <v>48000</v>
      </c>
      <c r="L148" s="25"/>
      <c r="M148" s="12">
        <f>48000</f>
        <v>48000</v>
      </c>
      <c r="N148" s="13" t="s">
        <v>57</v>
      </c>
      <c r="O148" s="14" t="s">
        <v>57</v>
      </c>
      <c r="P148" s="26" t="s">
        <v>1</v>
      </c>
      <c r="Q148" s="26"/>
      <c r="R148" s="27" t="s">
        <v>1</v>
      </c>
      <c r="S148" s="27"/>
    </row>
    <row r="149" spans="1:19" s="1" customFormat="1" ht="13.5" customHeight="1">
      <c r="A149" s="22" t="s">
        <v>333</v>
      </c>
      <c r="B149" s="22"/>
      <c r="C149" s="22"/>
      <c r="D149" s="22"/>
      <c r="E149" s="22"/>
      <c r="F149" s="23" t="s">
        <v>334</v>
      </c>
      <c r="G149" s="23"/>
      <c r="H149" s="23"/>
      <c r="I149" s="24">
        <f>29167228.72</f>
        <v>29167228.72</v>
      </c>
      <c r="J149" s="24"/>
      <c r="K149" s="25">
        <f>38029939.55</f>
        <v>38029939.55</v>
      </c>
      <c r="L149" s="25"/>
      <c r="M149" s="12">
        <f>29167228.72</f>
        <v>29167228.72</v>
      </c>
      <c r="N149" s="13" t="s">
        <v>57</v>
      </c>
      <c r="O149" s="14" t="s">
        <v>335</v>
      </c>
      <c r="P149" s="26" t="s">
        <v>1</v>
      </c>
      <c r="Q149" s="26"/>
      <c r="R149" s="28">
        <f>8862710.83</f>
        <v>8862710.83</v>
      </c>
      <c r="S149" s="28"/>
    </row>
    <row r="150" spans="1:19" s="1" customFormat="1" ht="45" customHeight="1">
      <c r="A150" s="22" t="s">
        <v>336</v>
      </c>
      <c r="B150" s="22"/>
      <c r="C150" s="22"/>
      <c r="D150" s="22"/>
      <c r="E150" s="22"/>
      <c r="F150" s="23" t="s">
        <v>337</v>
      </c>
      <c r="G150" s="23"/>
      <c r="H150" s="23"/>
      <c r="I150" s="24">
        <f>4337368.85</f>
        <v>4337368.85</v>
      </c>
      <c r="J150" s="24"/>
      <c r="K150" s="25">
        <f>5439600</f>
        <v>5439600</v>
      </c>
      <c r="L150" s="25"/>
      <c r="M150" s="12">
        <f>4337368.85</f>
        <v>4337368.85</v>
      </c>
      <c r="N150" s="13" t="s">
        <v>57</v>
      </c>
      <c r="O150" s="14" t="s">
        <v>338</v>
      </c>
      <c r="P150" s="26" t="s">
        <v>1</v>
      </c>
      <c r="Q150" s="26"/>
      <c r="R150" s="28">
        <f>1102231.15</f>
        <v>1102231.15</v>
      </c>
      <c r="S150" s="28"/>
    </row>
    <row r="151" spans="1:19" s="1" customFormat="1" ht="54.75" customHeight="1">
      <c r="A151" s="22" t="s">
        <v>339</v>
      </c>
      <c r="B151" s="22"/>
      <c r="C151" s="22"/>
      <c r="D151" s="22"/>
      <c r="E151" s="22"/>
      <c r="F151" s="23" t="s">
        <v>340</v>
      </c>
      <c r="G151" s="23"/>
      <c r="H151" s="23"/>
      <c r="I151" s="24">
        <f>4337368.85</f>
        <v>4337368.85</v>
      </c>
      <c r="J151" s="24"/>
      <c r="K151" s="25">
        <f>5439600</f>
        <v>5439600</v>
      </c>
      <c r="L151" s="25"/>
      <c r="M151" s="12">
        <f>4337368.85</f>
        <v>4337368.85</v>
      </c>
      <c r="N151" s="13" t="s">
        <v>57</v>
      </c>
      <c r="O151" s="14" t="s">
        <v>338</v>
      </c>
      <c r="P151" s="26" t="s">
        <v>1</v>
      </c>
      <c r="Q151" s="26"/>
      <c r="R151" s="28">
        <f>1102231.15</f>
        <v>1102231.15</v>
      </c>
      <c r="S151" s="28"/>
    </row>
    <row r="152" spans="1:19" s="1" customFormat="1" ht="24" customHeight="1">
      <c r="A152" s="22" t="s">
        <v>341</v>
      </c>
      <c r="B152" s="22"/>
      <c r="C152" s="22"/>
      <c r="D152" s="22"/>
      <c r="E152" s="22"/>
      <c r="F152" s="23" t="s">
        <v>342</v>
      </c>
      <c r="G152" s="23"/>
      <c r="H152" s="23"/>
      <c r="I152" s="24">
        <f>14359050</f>
        <v>14359050</v>
      </c>
      <c r="J152" s="24"/>
      <c r="K152" s="25">
        <f>19145400</f>
        <v>19145400</v>
      </c>
      <c r="L152" s="25"/>
      <c r="M152" s="12">
        <f>14359050</f>
        <v>14359050</v>
      </c>
      <c r="N152" s="13" t="s">
        <v>57</v>
      </c>
      <c r="O152" s="14" t="s">
        <v>247</v>
      </c>
      <c r="P152" s="26" t="s">
        <v>1</v>
      </c>
      <c r="Q152" s="26"/>
      <c r="R152" s="28">
        <f>4786350</f>
        <v>4786350</v>
      </c>
      <c r="S152" s="28"/>
    </row>
    <row r="153" spans="1:19" s="1" customFormat="1" ht="54.75" customHeight="1">
      <c r="A153" s="22" t="s">
        <v>343</v>
      </c>
      <c r="B153" s="22"/>
      <c r="C153" s="22"/>
      <c r="D153" s="22"/>
      <c r="E153" s="22"/>
      <c r="F153" s="23" t="s">
        <v>340</v>
      </c>
      <c r="G153" s="23"/>
      <c r="H153" s="23"/>
      <c r="I153" s="24">
        <f>14359050</f>
        <v>14359050</v>
      </c>
      <c r="J153" s="24"/>
      <c r="K153" s="25">
        <f>19145400</f>
        <v>19145400</v>
      </c>
      <c r="L153" s="25"/>
      <c r="M153" s="12">
        <f>14359050</f>
        <v>14359050</v>
      </c>
      <c r="N153" s="13" t="s">
        <v>57</v>
      </c>
      <c r="O153" s="14" t="s">
        <v>247</v>
      </c>
      <c r="P153" s="26" t="s">
        <v>1</v>
      </c>
      <c r="Q153" s="26"/>
      <c r="R153" s="28">
        <f>4786350</f>
        <v>4786350</v>
      </c>
      <c r="S153" s="28"/>
    </row>
    <row r="154" spans="1:19" s="1" customFormat="1" ht="45" customHeight="1">
      <c r="A154" s="22" t="s">
        <v>344</v>
      </c>
      <c r="B154" s="22"/>
      <c r="C154" s="22"/>
      <c r="D154" s="22"/>
      <c r="E154" s="22"/>
      <c r="F154" s="23" t="s">
        <v>337</v>
      </c>
      <c r="G154" s="23"/>
      <c r="H154" s="23"/>
      <c r="I154" s="24">
        <f>2335492.83</f>
        <v>2335492.83</v>
      </c>
      <c r="J154" s="24"/>
      <c r="K154" s="25">
        <f>2929000</f>
        <v>2929000</v>
      </c>
      <c r="L154" s="25"/>
      <c r="M154" s="12">
        <f>2335492.83</f>
        <v>2335492.83</v>
      </c>
      <c r="N154" s="13" t="s">
        <v>57</v>
      </c>
      <c r="O154" s="14" t="s">
        <v>338</v>
      </c>
      <c r="P154" s="26" t="s">
        <v>1</v>
      </c>
      <c r="Q154" s="26"/>
      <c r="R154" s="28">
        <f>593507.17</f>
        <v>593507.17</v>
      </c>
      <c r="S154" s="28"/>
    </row>
    <row r="155" spans="1:19" s="1" customFormat="1" ht="54.75" customHeight="1">
      <c r="A155" s="22" t="s">
        <v>345</v>
      </c>
      <c r="B155" s="22"/>
      <c r="C155" s="22"/>
      <c r="D155" s="22"/>
      <c r="E155" s="22"/>
      <c r="F155" s="23" t="s">
        <v>340</v>
      </c>
      <c r="G155" s="23"/>
      <c r="H155" s="23"/>
      <c r="I155" s="24">
        <f>2335492.83</f>
        <v>2335492.83</v>
      </c>
      <c r="J155" s="24"/>
      <c r="K155" s="25">
        <f>2929000</f>
        <v>2929000</v>
      </c>
      <c r="L155" s="25"/>
      <c r="M155" s="12">
        <f>2335492.83</f>
        <v>2335492.83</v>
      </c>
      <c r="N155" s="13" t="s">
        <v>57</v>
      </c>
      <c r="O155" s="14" t="s">
        <v>338</v>
      </c>
      <c r="P155" s="26" t="s">
        <v>1</v>
      </c>
      <c r="Q155" s="26"/>
      <c r="R155" s="28">
        <f>593507.17</f>
        <v>593507.17</v>
      </c>
      <c r="S155" s="28"/>
    </row>
    <row r="156" spans="1:19" s="1" customFormat="1" ht="24" customHeight="1">
      <c r="A156" s="22" t="s">
        <v>346</v>
      </c>
      <c r="B156" s="22"/>
      <c r="C156" s="22"/>
      <c r="D156" s="22"/>
      <c r="E156" s="22"/>
      <c r="F156" s="23" t="s">
        <v>342</v>
      </c>
      <c r="G156" s="23"/>
      <c r="H156" s="23"/>
      <c r="I156" s="24">
        <f>6885750</f>
        <v>6885750</v>
      </c>
      <c r="J156" s="24"/>
      <c r="K156" s="25">
        <f>9181000</f>
        <v>9181000</v>
      </c>
      <c r="L156" s="25"/>
      <c r="M156" s="12">
        <f>6885750</f>
        <v>6885750</v>
      </c>
      <c r="N156" s="13" t="s">
        <v>57</v>
      </c>
      <c r="O156" s="14" t="s">
        <v>247</v>
      </c>
      <c r="P156" s="26" t="s">
        <v>1</v>
      </c>
      <c r="Q156" s="26"/>
      <c r="R156" s="28">
        <f>2295250</f>
        <v>2295250</v>
      </c>
      <c r="S156" s="28"/>
    </row>
    <row r="157" spans="1:19" s="1" customFormat="1" ht="54.75" customHeight="1">
      <c r="A157" s="22" t="s">
        <v>347</v>
      </c>
      <c r="B157" s="22"/>
      <c r="C157" s="22"/>
      <c r="D157" s="22"/>
      <c r="E157" s="22"/>
      <c r="F157" s="23" t="s">
        <v>340</v>
      </c>
      <c r="G157" s="23"/>
      <c r="H157" s="23"/>
      <c r="I157" s="24">
        <f>6885750</f>
        <v>6885750</v>
      </c>
      <c r="J157" s="24"/>
      <c r="K157" s="25">
        <f>9181000</f>
        <v>9181000</v>
      </c>
      <c r="L157" s="25"/>
      <c r="M157" s="12">
        <f>6885750</f>
        <v>6885750</v>
      </c>
      <c r="N157" s="13" t="s">
        <v>57</v>
      </c>
      <c r="O157" s="14" t="s">
        <v>247</v>
      </c>
      <c r="P157" s="26" t="s">
        <v>1</v>
      </c>
      <c r="Q157" s="26"/>
      <c r="R157" s="28">
        <f>2295250</f>
        <v>2295250</v>
      </c>
      <c r="S157" s="28"/>
    </row>
    <row r="158" spans="1:19" s="1" customFormat="1" ht="24" customHeight="1">
      <c r="A158" s="22" t="s">
        <v>348</v>
      </c>
      <c r="B158" s="22"/>
      <c r="C158" s="22"/>
      <c r="D158" s="22"/>
      <c r="E158" s="22"/>
      <c r="F158" s="23" t="s">
        <v>342</v>
      </c>
      <c r="G158" s="23"/>
      <c r="H158" s="23"/>
      <c r="I158" s="24">
        <f>1249567.04</f>
        <v>1249567.04</v>
      </c>
      <c r="J158" s="24"/>
      <c r="K158" s="25">
        <f>1334939.55</f>
        <v>1334939.55</v>
      </c>
      <c r="L158" s="25"/>
      <c r="M158" s="12">
        <f>1249567.04</f>
        <v>1249567.04</v>
      </c>
      <c r="N158" s="13" t="s">
        <v>57</v>
      </c>
      <c r="O158" s="14" t="s">
        <v>349</v>
      </c>
      <c r="P158" s="26" t="s">
        <v>1</v>
      </c>
      <c r="Q158" s="26"/>
      <c r="R158" s="28">
        <f>85372.51</f>
        <v>85372.51</v>
      </c>
      <c r="S158" s="28"/>
    </row>
    <row r="159" spans="1:19" s="1" customFormat="1" ht="13.5" customHeight="1">
      <c r="A159" s="22" t="s">
        <v>350</v>
      </c>
      <c r="B159" s="22"/>
      <c r="C159" s="22"/>
      <c r="D159" s="22"/>
      <c r="E159" s="22"/>
      <c r="F159" s="23" t="s">
        <v>202</v>
      </c>
      <c r="G159" s="23"/>
      <c r="H159" s="23"/>
      <c r="I159" s="24">
        <f>1249567.04</f>
        <v>1249567.04</v>
      </c>
      <c r="J159" s="24"/>
      <c r="K159" s="25">
        <f>1334939.55</f>
        <v>1334939.55</v>
      </c>
      <c r="L159" s="25"/>
      <c r="M159" s="12">
        <f>1249567.04</f>
        <v>1249567.04</v>
      </c>
      <c r="N159" s="13" t="s">
        <v>57</v>
      </c>
      <c r="O159" s="14" t="s">
        <v>349</v>
      </c>
      <c r="P159" s="26" t="s">
        <v>1</v>
      </c>
      <c r="Q159" s="26"/>
      <c r="R159" s="28">
        <f>85372.51</f>
        <v>85372.51</v>
      </c>
      <c r="S159" s="28"/>
    </row>
    <row r="160" spans="1:19" s="1" customFormat="1" ht="13.5" customHeight="1">
      <c r="A160" s="22" t="s">
        <v>351</v>
      </c>
      <c r="B160" s="22"/>
      <c r="C160" s="22"/>
      <c r="D160" s="22"/>
      <c r="E160" s="22"/>
      <c r="F160" s="23" t="s">
        <v>352</v>
      </c>
      <c r="G160" s="23"/>
      <c r="H160" s="23"/>
      <c r="I160" s="24">
        <f>5800</f>
        <v>5800</v>
      </c>
      <c r="J160" s="24"/>
      <c r="K160" s="25">
        <f>5800</f>
        <v>5800</v>
      </c>
      <c r="L160" s="25"/>
      <c r="M160" s="13" t="s">
        <v>1</v>
      </c>
      <c r="N160" s="13" t="s">
        <v>134</v>
      </c>
      <c r="O160" s="14" t="s">
        <v>134</v>
      </c>
      <c r="P160" s="24">
        <f>5800</f>
        <v>5800</v>
      </c>
      <c r="Q160" s="24"/>
      <c r="R160" s="28">
        <f>5800</f>
        <v>5800</v>
      </c>
      <c r="S160" s="28"/>
    </row>
    <row r="161" spans="1:19" s="1" customFormat="1" ht="24" customHeight="1">
      <c r="A161" s="22" t="s">
        <v>353</v>
      </c>
      <c r="B161" s="22"/>
      <c r="C161" s="22"/>
      <c r="D161" s="22"/>
      <c r="E161" s="22"/>
      <c r="F161" s="23" t="s">
        <v>354</v>
      </c>
      <c r="G161" s="23"/>
      <c r="H161" s="23"/>
      <c r="I161" s="24">
        <f>5800</f>
        <v>5800</v>
      </c>
      <c r="J161" s="24"/>
      <c r="K161" s="25">
        <f>5800</f>
        <v>5800</v>
      </c>
      <c r="L161" s="25"/>
      <c r="M161" s="13" t="s">
        <v>1</v>
      </c>
      <c r="N161" s="13" t="s">
        <v>134</v>
      </c>
      <c r="O161" s="14" t="s">
        <v>134</v>
      </c>
      <c r="P161" s="24">
        <f>5800</f>
        <v>5800</v>
      </c>
      <c r="Q161" s="24"/>
      <c r="R161" s="28">
        <f>5800</f>
        <v>5800</v>
      </c>
      <c r="S161" s="28"/>
    </row>
    <row r="162" spans="1:19" s="1" customFormat="1" ht="24" customHeight="1">
      <c r="A162" s="22" t="s">
        <v>355</v>
      </c>
      <c r="B162" s="22"/>
      <c r="C162" s="22"/>
      <c r="D162" s="22"/>
      <c r="E162" s="22"/>
      <c r="F162" s="23" t="s">
        <v>113</v>
      </c>
      <c r="G162" s="23"/>
      <c r="H162" s="23"/>
      <c r="I162" s="24">
        <f>5800</f>
        <v>5800</v>
      </c>
      <c r="J162" s="24"/>
      <c r="K162" s="25">
        <f>5800</f>
        <v>5800</v>
      </c>
      <c r="L162" s="25"/>
      <c r="M162" s="13" t="s">
        <v>1</v>
      </c>
      <c r="N162" s="13" t="s">
        <v>134</v>
      </c>
      <c r="O162" s="14" t="s">
        <v>134</v>
      </c>
      <c r="P162" s="24">
        <f>5800</f>
        <v>5800</v>
      </c>
      <c r="Q162" s="24"/>
      <c r="R162" s="28">
        <f>5800</f>
        <v>5800</v>
      </c>
      <c r="S162" s="28"/>
    </row>
    <row r="163" spans="1:19" s="1" customFormat="1" ht="13.5" customHeight="1">
      <c r="A163" s="22" t="s">
        <v>356</v>
      </c>
      <c r="B163" s="22"/>
      <c r="C163" s="22"/>
      <c r="D163" s="22"/>
      <c r="E163" s="22"/>
      <c r="F163" s="23" t="s">
        <v>357</v>
      </c>
      <c r="G163" s="23"/>
      <c r="H163" s="23"/>
      <c r="I163" s="24">
        <f>291996</f>
        <v>291996</v>
      </c>
      <c r="J163" s="24"/>
      <c r="K163" s="25">
        <f>389328</f>
        <v>389328</v>
      </c>
      <c r="L163" s="25"/>
      <c r="M163" s="12">
        <f>266996</f>
        <v>266996</v>
      </c>
      <c r="N163" s="13" t="s">
        <v>358</v>
      </c>
      <c r="O163" s="14" t="s">
        <v>359</v>
      </c>
      <c r="P163" s="24">
        <f>25000</f>
        <v>25000</v>
      </c>
      <c r="Q163" s="24"/>
      <c r="R163" s="28">
        <f>122332</f>
        <v>122332</v>
      </c>
      <c r="S163" s="28"/>
    </row>
    <row r="164" spans="1:19" s="1" customFormat="1" ht="13.5" customHeight="1">
      <c r="A164" s="22" t="s">
        <v>360</v>
      </c>
      <c r="B164" s="22"/>
      <c r="C164" s="22"/>
      <c r="D164" s="22"/>
      <c r="E164" s="22"/>
      <c r="F164" s="23" t="s">
        <v>109</v>
      </c>
      <c r="G164" s="23"/>
      <c r="H164" s="23"/>
      <c r="I164" s="24">
        <f>291996</f>
        <v>291996</v>
      </c>
      <c r="J164" s="24"/>
      <c r="K164" s="25">
        <f>389328</f>
        <v>389328</v>
      </c>
      <c r="L164" s="25"/>
      <c r="M164" s="12">
        <f>266996</f>
        <v>266996</v>
      </c>
      <c r="N164" s="13" t="s">
        <v>358</v>
      </c>
      <c r="O164" s="14" t="s">
        <v>359</v>
      </c>
      <c r="P164" s="24">
        <f>25000</f>
        <v>25000</v>
      </c>
      <c r="Q164" s="24"/>
      <c r="R164" s="28">
        <f>122332</f>
        <v>122332</v>
      </c>
      <c r="S164" s="28"/>
    </row>
    <row r="165" spans="1:19" s="1" customFormat="1" ht="24" customHeight="1">
      <c r="A165" s="22" t="s">
        <v>361</v>
      </c>
      <c r="B165" s="22"/>
      <c r="C165" s="22"/>
      <c r="D165" s="22"/>
      <c r="E165" s="22"/>
      <c r="F165" s="23" t="s">
        <v>362</v>
      </c>
      <c r="G165" s="23"/>
      <c r="H165" s="23"/>
      <c r="I165" s="24">
        <f>291996</f>
        <v>291996</v>
      </c>
      <c r="J165" s="24"/>
      <c r="K165" s="25">
        <f>389328</f>
        <v>389328</v>
      </c>
      <c r="L165" s="25"/>
      <c r="M165" s="12">
        <f>266996</f>
        <v>266996</v>
      </c>
      <c r="N165" s="13" t="s">
        <v>358</v>
      </c>
      <c r="O165" s="14" t="s">
        <v>359</v>
      </c>
      <c r="P165" s="24">
        <f>25000</f>
        <v>25000</v>
      </c>
      <c r="Q165" s="24"/>
      <c r="R165" s="28">
        <f>122332</f>
        <v>122332</v>
      </c>
      <c r="S165" s="28"/>
    </row>
    <row r="166" spans="1:19" s="1" customFormat="1" ht="13.5" customHeight="1">
      <c r="A166" s="22" t="s">
        <v>363</v>
      </c>
      <c r="B166" s="22"/>
      <c r="C166" s="22"/>
      <c r="D166" s="22"/>
      <c r="E166" s="22"/>
      <c r="F166" s="23" t="s">
        <v>364</v>
      </c>
      <c r="G166" s="23"/>
      <c r="H166" s="23"/>
      <c r="I166" s="24">
        <f>2531354</f>
        <v>2531354</v>
      </c>
      <c r="J166" s="24"/>
      <c r="K166" s="25">
        <f>3338854</f>
        <v>3338854</v>
      </c>
      <c r="L166" s="25"/>
      <c r="M166" s="12">
        <f>2531354</f>
        <v>2531354</v>
      </c>
      <c r="N166" s="13" t="s">
        <v>57</v>
      </c>
      <c r="O166" s="14" t="s">
        <v>365</v>
      </c>
      <c r="P166" s="26" t="s">
        <v>1</v>
      </c>
      <c r="Q166" s="26"/>
      <c r="R166" s="28">
        <f>807500</f>
        <v>807500</v>
      </c>
      <c r="S166" s="28"/>
    </row>
    <row r="167" spans="1:19" s="1" customFormat="1" ht="24" customHeight="1">
      <c r="A167" s="22" t="s">
        <v>366</v>
      </c>
      <c r="B167" s="22"/>
      <c r="C167" s="22"/>
      <c r="D167" s="22"/>
      <c r="E167" s="22"/>
      <c r="F167" s="23" t="s">
        <v>342</v>
      </c>
      <c r="G167" s="23"/>
      <c r="H167" s="23"/>
      <c r="I167" s="24">
        <f>2422500</f>
        <v>2422500</v>
      </c>
      <c r="J167" s="24"/>
      <c r="K167" s="25">
        <f>3230000</f>
        <v>3230000</v>
      </c>
      <c r="L167" s="25"/>
      <c r="M167" s="12">
        <f>2422500</f>
        <v>2422500</v>
      </c>
      <c r="N167" s="13" t="s">
        <v>57</v>
      </c>
      <c r="O167" s="14" t="s">
        <v>247</v>
      </c>
      <c r="P167" s="26" t="s">
        <v>1</v>
      </c>
      <c r="Q167" s="26"/>
      <c r="R167" s="28">
        <f>807500</f>
        <v>807500</v>
      </c>
      <c r="S167" s="28"/>
    </row>
    <row r="168" spans="1:19" s="1" customFormat="1" ht="54.75" customHeight="1">
      <c r="A168" s="22" t="s">
        <v>367</v>
      </c>
      <c r="B168" s="22"/>
      <c r="C168" s="22"/>
      <c r="D168" s="22"/>
      <c r="E168" s="22"/>
      <c r="F168" s="23" t="s">
        <v>340</v>
      </c>
      <c r="G168" s="23"/>
      <c r="H168" s="23"/>
      <c r="I168" s="24">
        <f>2422500</f>
        <v>2422500</v>
      </c>
      <c r="J168" s="24"/>
      <c r="K168" s="25">
        <f>3230000</f>
        <v>3230000</v>
      </c>
      <c r="L168" s="25"/>
      <c r="M168" s="12">
        <f>2422500</f>
        <v>2422500</v>
      </c>
      <c r="N168" s="13" t="s">
        <v>57</v>
      </c>
      <c r="O168" s="14" t="s">
        <v>247</v>
      </c>
      <c r="P168" s="26" t="s">
        <v>1</v>
      </c>
      <c r="Q168" s="26"/>
      <c r="R168" s="28">
        <f>807500</f>
        <v>807500</v>
      </c>
      <c r="S168" s="28"/>
    </row>
    <row r="169" spans="1:19" s="1" customFormat="1" ht="24" customHeight="1">
      <c r="A169" s="22" t="s">
        <v>368</v>
      </c>
      <c r="B169" s="22"/>
      <c r="C169" s="22"/>
      <c r="D169" s="22"/>
      <c r="E169" s="22"/>
      <c r="F169" s="23" t="s">
        <v>342</v>
      </c>
      <c r="G169" s="23"/>
      <c r="H169" s="23"/>
      <c r="I169" s="24">
        <f>108854</f>
        <v>108854</v>
      </c>
      <c r="J169" s="24"/>
      <c r="K169" s="25">
        <f>108854</f>
        <v>108854</v>
      </c>
      <c r="L169" s="25"/>
      <c r="M169" s="12">
        <f>108854</f>
        <v>108854</v>
      </c>
      <c r="N169" s="13" t="s">
        <v>57</v>
      </c>
      <c r="O169" s="14" t="s">
        <v>57</v>
      </c>
      <c r="P169" s="26" t="s">
        <v>1</v>
      </c>
      <c r="Q169" s="26"/>
      <c r="R169" s="27" t="s">
        <v>1</v>
      </c>
      <c r="S169" s="27"/>
    </row>
    <row r="170" spans="1:19" s="1" customFormat="1" ht="13.5" customHeight="1">
      <c r="A170" s="22" t="s">
        <v>369</v>
      </c>
      <c r="B170" s="22"/>
      <c r="C170" s="22"/>
      <c r="D170" s="22"/>
      <c r="E170" s="22"/>
      <c r="F170" s="23" t="s">
        <v>202</v>
      </c>
      <c r="G170" s="23"/>
      <c r="H170" s="23"/>
      <c r="I170" s="24">
        <f>108854</f>
        <v>108854</v>
      </c>
      <c r="J170" s="24"/>
      <c r="K170" s="25">
        <f>108854</f>
        <v>108854</v>
      </c>
      <c r="L170" s="25"/>
      <c r="M170" s="12">
        <f>108854</f>
        <v>108854</v>
      </c>
      <c r="N170" s="13" t="s">
        <v>57</v>
      </c>
      <c r="O170" s="14" t="s">
        <v>57</v>
      </c>
      <c r="P170" s="26" t="s">
        <v>1</v>
      </c>
      <c r="Q170" s="26"/>
      <c r="R170" s="27" t="s">
        <v>1</v>
      </c>
      <c r="S170" s="27"/>
    </row>
    <row r="171" spans="1:19" s="1" customFormat="1" ht="15" customHeight="1">
      <c r="A171" s="18" t="s">
        <v>370</v>
      </c>
      <c r="B171" s="18"/>
      <c r="C171" s="18"/>
      <c r="D171" s="18"/>
      <c r="E171" s="18"/>
      <c r="F171" s="18"/>
      <c r="G171" s="18"/>
      <c r="H171" s="18"/>
      <c r="I171" s="19">
        <f>122947066.32</f>
        <v>122947066.32</v>
      </c>
      <c r="J171" s="19"/>
      <c r="K171" s="20">
        <f>150847418.67</f>
        <v>150847418.67</v>
      </c>
      <c r="L171" s="20"/>
      <c r="M171" s="15">
        <f>110929737.22</f>
        <v>110929737.22</v>
      </c>
      <c r="N171" s="15">
        <f>90.23</f>
        <v>90.23</v>
      </c>
      <c r="O171" s="16">
        <f>73.54</f>
        <v>73.54</v>
      </c>
      <c r="P171" s="19">
        <f>12017329.1</f>
        <v>12017329.1</v>
      </c>
      <c r="Q171" s="19"/>
      <c r="R171" s="21">
        <f>39917681.45</f>
        <v>39917681.45</v>
      </c>
      <c r="S171" s="21"/>
    </row>
    <row r="172" spans="1:19" s="1" customFormat="1" ht="15.75" customHeight="1">
      <c r="A172" s="17" t="s">
        <v>1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</sheetData>
  <sheetProtection/>
  <mergeCells count="97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H171"/>
    <mergeCell ref="I171:J171"/>
    <mergeCell ref="K171:L171"/>
    <mergeCell ref="P171:Q171"/>
    <mergeCell ref="R171:S171"/>
    <mergeCell ref="A172:S17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2022-10-20T07:08:26Z</dcterms:created>
  <dcterms:modified xsi:type="dcterms:W3CDTF">2022-10-20T07:10:02Z</dcterms:modified>
  <cp:category/>
  <cp:version/>
  <cp:contentType/>
  <cp:contentStatus/>
</cp:coreProperties>
</file>