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И_ХМАО\АПК бизнес-планы\"/>
    </mc:Choice>
  </mc:AlternateContent>
  <bookViews>
    <workbookView xWindow="0" yWindow="0" windowWidth="23040" windowHeight="8904"/>
  </bookViews>
  <sheets>
    <sheet name="Лист1" sheetId="1" r:id="rId1"/>
  </sheets>
  <definedNames>
    <definedName name="CUR_NAME">Лист1!$C$4</definedName>
  </definedName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0" i="1" l="1"/>
  <c r="E174" i="1" l="1"/>
  <c r="F174" i="1"/>
  <c r="G174" i="1"/>
  <c r="H174" i="1"/>
  <c r="I174" i="1"/>
  <c r="J174" i="1"/>
  <c r="K174" i="1"/>
  <c r="L174" i="1"/>
  <c r="M174" i="1"/>
  <c r="D174" i="1"/>
  <c r="E175" i="1" s="1"/>
  <c r="F175" i="1" s="1"/>
  <c r="G175" i="1" s="1"/>
  <c r="H175" i="1" s="1"/>
  <c r="I175" i="1" s="1"/>
  <c r="J175" i="1" s="1"/>
  <c r="K175" i="1" s="1"/>
  <c r="L175" i="1" s="1"/>
  <c r="M175" i="1" s="1"/>
  <c r="M171" i="1" l="1"/>
  <c r="L171" i="1"/>
  <c r="K171" i="1"/>
  <c r="J171" i="1"/>
  <c r="I171" i="1"/>
  <c r="H171" i="1"/>
  <c r="G171" i="1"/>
  <c r="F171" i="1"/>
  <c r="E171" i="1"/>
  <c r="D171" i="1"/>
  <c r="M96" i="1"/>
  <c r="L96" i="1"/>
  <c r="K96" i="1"/>
  <c r="J96" i="1"/>
  <c r="I96" i="1"/>
  <c r="H96" i="1"/>
  <c r="G96" i="1"/>
  <c r="F96" i="1"/>
  <c r="E96" i="1"/>
  <c r="D96" i="1"/>
  <c r="M147" i="1"/>
  <c r="L147" i="1"/>
  <c r="K147" i="1"/>
  <c r="J147" i="1"/>
  <c r="I147" i="1"/>
  <c r="H147" i="1"/>
  <c r="G147" i="1"/>
  <c r="F147" i="1"/>
  <c r="E147" i="1"/>
  <c r="D147" i="1"/>
  <c r="M125" i="1"/>
  <c r="L125" i="1"/>
  <c r="K125" i="1"/>
  <c r="J125" i="1"/>
  <c r="I125" i="1"/>
  <c r="H125" i="1"/>
  <c r="G125" i="1"/>
  <c r="F125" i="1"/>
  <c r="E125" i="1"/>
  <c r="D125" i="1"/>
  <c r="M109" i="1" l="1"/>
  <c r="L109" i="1"/>
  <c r="K109" i="1"/>
  <c r="J109" i="1"/>
  <c r="I109" i="1"/>
  <c r="H109" i="1"/>
  <c r="G109" i="1"/>
  <c r="F109" i="1"/>
  <c r="E109" i="1"/>
  <c r="D109" i="1"/>
  <c r="M78" i="1"/>
  <c r="L78" i="1"/>
  <c r="K78" i="1"/>
  <c r="J78" i="1"/>
  <c r="I78" i="1"/>
  <c r="H78" i="1"/>
  <c r="G78" i="1"/>
  <c r="F78" i="1"/>
  <c r="E78" i="1"/>
  <c r="D78" i="1"/>
  <c r="M47" i="1"/>
  <c r="L47" i="1"/>
  <c r="K47" i="1"/>
  <c r="J47" i="1"/>
  <c r="I47" i="1"/>
  <c r="H47" i="1"/>
  <c r="G47" i="1"/>
  <c r="F47" i="1"/>
  <c r="E47" i="1"/>
  <c r="D47" i="1"/>
  <c r="M38" i="1"/>
  <c r="L38" i="1"/>
  <c r="K38" i="1"/>
  <c r="J38" i="1"/>
  <c r="I38" i="1"/>
  <c r="H38" i="1"/>
  <c r="G38" i="1"/>
  <c r="F38" i="1"/>
  <c r="E38" i="1"/>
  <c r="D38" i="1"/>
  <c r="M24" i="1"/>
  <c r="L24" i="1"/>
  <c r="K24" i="1"/>
  <c r="J24" i="1"/>
  <c r="I24" i="1"/>
  <c r="H24" i="1"/>
  <c r="G24" i="1"/>
  <c r="F24" i="1"/>
  <c r="E24" i="1"/>
  <c r="D24" i="1"/>
  <c r="E12" i="1"/>
  <c r="F12" i="1"/>
  <c r="G12" i="1"/>
  <c r="H12" i="1"/>
  <c r="I12" i="1"/>
  <c r="J12" i="1"/>
  <c r="K12" i="1"/>
  <c r="L12" i="1"/>
  <c r="M12" i="1"/>
  <c r="D12" i="1"/>
  <c r="E92" i="1"/>
  <c r="F92" i="1"/>
  <c r="G92" i="1"/>
  <c r="H92" i="1"/>
  <c r="I92" i="1"/>
  <c r="J92" i="1"/>
  <c r="K92" i="1"/>
  <c r="L92" i="1"/>
  <c r="M92" i="1"/>
  <c r="D92" i="1"/>
  <c r="B81" i="1" l="1"/>
  <c r="B62" i="1"/>
  <c r="E51" i="1"/>
  <c r="F51" i="1"/>
  <c r="G51" i="1"/>
  <c r="H51" i="1"/>
  <c r="I51" i="1"/>
  <c r="J51" i="1"/>
  <c r="K51" i="1"/>
  <c r="L51" i="1"/>
  <c r="M51" i="1"/>
  <c r="D51" i="1"/>
  <c r="B53" i="1"/>
  <c r="D20" i="1"/>
  <c r="E20" i="1"/>
  <c r="F20" i="1"/>
  <c r="G20" i="1"/>
  <c r="H20" i="1"/>
  <c r="I20" i="1"/>
  <c r="J20" i="1"/>
  <c r="K20" i="1"/>
  <c r="L20" i="1"/>
  <c r="M20" i="1"/>
  <c r="D21" i="1"/>
  <c r="E21" i="1"/>
  <c r="F21" i="1"/>
  <c r="G21" i="1"/>
  <c r="H21" i="1"/>
  <c r="I21" i="1"/>
  <c r="J21" i="1"/>
  <c r="K21" i="1"/>
  <c r="L21" i="1"/>
  <c r="M21" i="1"/>
  <c r="D64" i="1" l="1"/>
  <c r="D69" i="1" s="1"/>
  <c r="D89" i="1"/>
  <c r="G88" i="1"/>
  <c r="K88" i="1"/>
  <c r="M88" i="1"/>
  <c r="H88" i="1"/>
  <c r="J88" i="1"/>
  <c r="L88" i="1"/>
  <c r="D94" i="1"/>
  <c r="I88" i="1"/>
  <c r="D66" i="1"/>
  <c r="D71" i="1" s="1"/>
  <c r="D53" i="1"/>
  <c r="D83" i="1"/>
  <c r="B51" i="1"/>
  <c r="L55" i="1"/>
  <c r="L134" i="1" s="1"/>
  <c r="L83" i="1"/>
  <c r="L137" i="1" s="1"/>
  <c r="H55" i="1"/>
  <c r="H134" i="1" s="1"/>
  <c r="H83" i="1"/>
  <c r="H137" i="1" s="1"/>
  <c r="M54" i="1"/>
  <c r="M133" i="1" s="1"/>
  <c r="M83" i="1"/>
  <c r="M137" i="1" s="1"/>
  <c r="J53" i="1"/>
  <c r="J83" i="1"/>
  <c r="J137" i="1" s="1"/>
  <c r="G53" i="1"/>
  <c r="G83" i="1"/>
  <c r="G137" i="1" s="1"/>
  <c r="F55" i="1"/>
  <c r="F134" i="1" s="1"/>
  <c r="F83" i="1"/>
  <c r="F137" i="1" s="1"/>
  <c r="D65" i="1"/>
  <c r="K54" i="1"/>
  <c r="K133" i="1" s="1"/>
  <c r="K83" i="1"/>
  <c r="K137" i="1" s="1"/>
  <c r="I53" i="1"/>
  <c r="I83" i="1"/>
  <c r="I137" i="1" s="1"/>
  <c r="E54" i="1"/>
  <c r="E133" i="1" s="1"/>
  <c r="E83" i="1"/>
  <c r="E137" i="1" s="1"/>
  <c r="H54" i="1"/>
  <c r="H133" i="1" s="1"/>
  <c r="H53" i="1"/>
  <c r="E53" i="1"/>
  <c r="D55" i="1"/>
  <c r="L54" i="1"/>
  <c r="L133" i="1" s="1"/>
  <c r="J54" i="1"/>
  <c r="J133" i="1" s="1"/>
  <c r="D54" i="1"/>
  <c r="E55" i="1"/>
  <c r="E134" i="1" s="1"/>
  <c r="I54" i="1"/>
  <c r="I133" i="1" s="1"/>
  <c r="G54" i="1"/>
  <c r="G133" i="1" s="1"/>
  <c r="M55" i="1"/>
  <c r="M134" i="1" s="1"/>
  <c r="I55" i="1"/>
  <c r="I134" i="1" s="1"/>
  <c r="M53" i="1"/>
  <c r="J55" i="1"/>
  <c r="J134" i="1" s="1"/>
  <c r="L53" i="1"/>
  <c r="K55" i="1"/>
  <c r="K134" i="1" s="1"/>
  <c r="K53" i="1"/>
  <c r="G55" i="1"/>
  <c r="G134" i="1" s="1"/>
  <c r="F53" i="1"/>
  <c r="F54" i="1"/>
  <c r="F133" i="1" s="1"/>
  <c r="C4" i="1"/>
  <c r="E14" i="1"/>
  <c r="F14" i="1"/>
  <c r="G14" i="1"/>
  <c r="H14" i="1"/>
  <c r="I14" i="1"/>
  <c r="J14" i="1"/>
  <c r="K14" i="1"/>
  <c r="L14" i="1"/>
  <c r="M14" i="1"/>
  <c r="E15" i="1"/>
  <c r="F15" i="1"/>
  <c r="G15" i="1"/>
  <c r="H15" i="1"/>
  <c r="I15" i="1"/>
  <c r="J15" i="1"/>
  <c r="K15" i="1"/>
  <c r="L15" i="1"/>
  <c r="M15" i="1"/>
  <c r="E16" i="1"/>
  <c r="F16" i="1"/>
  <c r="G16" i="1"/>
  <c r="H16" i="1"/>
  <c r="I16" i="1"/>
  <c r="J16" i="1"/>
  <c r="K16" i="1"/>
  <c r="L16" i="1"/>
  <c r="M16" i="1"/>
  <c r="E17" i="1"/>
  <c r="F17" i="1"/>
  <c r="G17" i="1"/>
  <c r="H17" i="1"/>
  <c r="I17" i="1"/>
  <c r="J17" i="1"/>
  <c r="K17" i="1"/>
  <c r="L17" i="1"/>
  <c r="M17" i="1"/>
  <c r="E22" i="1"/>
  <c r="F22" i="1"/>
  <c r="G22" i="1"/>
  <c r="H22" i="1"/>
  <c r="I22" i="1"/>
  <c r="J22" i="1"/>
  <c r="K22" i="1"/>
  <c r="L22" i="1"/>
  <c r="M22" i="1"/>
  <c r="D15" i="1"/>
  <c r="D16" i="1"/>
  <c r="D17" i="1"/>
  <c r="D22" i="1"/>
  <c r="D14" i="1"/>
  <c r="D9" i="1"/>
  <c r="D10" i="1" s="1"/>
  <c r="D32" i="1" s="1"/>
  <c r="E8" i="1"/>
  <c r="F8" i="1" s="1"/>
  <c r="G8" i="1" s="1"/>
  <c r="H8" i="1" s="1"/>
  <c r="I8" i="1" s="1"/>
  <c r="J8" i="1" s="1"/>
  <c r="K8" i="1" s="1"/>
  <c r="L8" i="1" s="1"/>
  <c r="M8" i="1" s="1"/>
  <c r="C182" i="1" l="1"/>
  <c r="C173" i="1"/>
  <c r="C181" i="1"/>
  <c r="C178" i="1"/>
  <c r="C176" i="1"/>
  <c r="I106" i="1"/>
  <c r="I132" i="1"/>
  <c r="I135" i="1" s="1"/>
  <c r="K106" i="1"/>
  <c r="K132" i="1"/>
  <c r="K135" i="1" s="1"/>
  <c r="L106" i="1"/>
  <c r="L132" i="1"/>
  <c r="L135" i="1" s="1"/>
  <c r="M106" i="1"/>
  <c r="M132" i="1"/>
  <c r="M135" i="1" s="1"/>
  <c r="F106" i="1"/>
  <c r="F132" i="1"/>
  <c r="F135" i="1" s="1"/>
  <c r="H106" i="1"/>
  <c r="H132" i="1"/>
  <c r="H135" i="1" s="1"/>
  <c r="D84" i="1"/>
  <c r="D161" i="1" s="1"/>
  <c r="D137" i="1"/>
  <c r="G106" i="1"/>
  <c r="G132" i="1"/>
  <c r="G135" i="1" s="1"/>
  <c r="D58" i="1"/>
  <c r="D74" i="1" s="1"/>
  <c r="D106" i="1"/>
  <c r="D132" i="1"/>
  <c r="E106" i="1"/>
  <c r="E132" i="1"/>
  <c r="E135" i="1" s="1"/>
  <c r="D26" i="1"/>
  <c r="D112" i="1" s="1"/>
  <c r="D104" i="1"/>
  <c r="D111" i="1"/>
  <c r="C27" i="1"/>
  <c r="C107" i="1"/>
  <c r="C106" i="1"/>
  <c r="C105" i="1"/>
  <c r="C104" i="1"/>
  <c r="C157" i="1"/>
  <c r="C132" i="1"/>
  <c r="C127" i="1"/>
  <c r="C111" i="1"/>
  <c r="C133" i="1"/>
  <c r="C121" i="1"/>
  <c r="C101" i="1"/>
  <c r="C155" i="1"/>
  <c r="C145" i="1"/>
  <c r="C159" i="1"/>
  <c r="C112" i="1"/>
  <c r="C123" i="1"/>
  <c r="C161" i="1"/>
  <c r="C134" i="1"/>
  <c r="C113" i="1"/>
  <c r="C130" i="1"/>
  <c r="C162" i="1"/>
  <c r="C135" i="1"/>
  <c r="C114" i="1"/>
  <c r="C163" i="1"/>
  <c r="C137" i="1"/>
  <c r="C115" i="1"/>
  <c r="C138" i="1"/>
  <c r="C166" i="1"/>
  <c r="C139" i="1"/>
  <c r="C165" i="1"/>
  <c r="C116" i="1"/>
  <c r="C128" i="1"/>
  <c r="C144" i="1"/>
  <c r="C150" i="1"/>
  <c r="C117" i="1"/>
  <c r="C151" i="1"/>
  <c r="C168" i="1"/>
  <c r="C140" i="1"/>
  <c r="C119" i="1"/>
  <c r="C100" i="1"/>
  <c r="C143" i="1"/>
  <c r="C129" i="1"/>
  <c r="C156" i="1"/>
  <c r="C99" i="1"/>
  <c r="C152" i="1"/>
  <c r="C149" i="1"/>
  <c r="C141" i="1"/>
  <c r="C120" i="1"/>
  <c r="C154" i="1"/>
  <c r="C122" i="1"/>
  <c r="C98" i="1"/>
  <c r="J106" i="1"/>
  <c r="J132" i="1"/>
  <c r="J135" i="1" s="1"/>
  <c r="D59" i="1"/>
  <c r="D133" i="1"/>
  <c r="D60" i="1"/>
  <c r="D76" i="1" s="1"/>
  <c r="D151" i="1" s="1"/>
  <c r="D134" i="1"/>
  <c r="D70" i="1"/>
  <c r="D119" i="1"/>
  <c r="D128" i="1" s="1"/>
  <c r="D29" i="1"/>
  <c r="D115" i="1" s="1"/>
  <c r="D28" i="1"/>
  <c r="D114" i="1" s="1"/>
  <c r="C34" i="1"/>
  <c r="D35" i="1"/>
  <c r="C6" i="1"/>
  <c r="C89" i="1"/>
  <c r="C93" i="1"/>
  <c r="C90" i="1"/>
  <c r="C91" i="1"/>
  <c r="C88" i="1"/>
  <c r="C33" i="1"/>
  <c r="C86" i="1"/>
  <c r="C51" i="1"/>
  <c r="C42" i="1"/>
  <c r="C60" i="1"/>
  <c r="C84" i="1"/>
  <c r="C71" i="1"/>
  <c r="C83" i="1"/>
  <c r="C70" i="1"/>
  <c r="C45" i="1"/>
  <c r="C64" i="1"/>
  <c r="C76" i="1"/>
  <c r="C69" i="1"/>
  <c r="C44" i="1"/>
  <c r="C75" i="1"/>
  <c r="C66" i="1"/>
  <c r="C41" i="1"/>
  <c r="C65" i="1"/>
  <c r="C40" i="1"/>
  <c r="C32" i="1"/>
  <c r="C58" i="1"/>
  <c r="C74" i="1"/>
  <c r="C59" i="1"/>
  <c r="C28" i="1"/>
  <c r="C29" i="1"/>
  <c r="D34" i="1"/>
  <c r="D40" i="1"/>
  <c r="D155" i="1" s="1"/>
  <c r="D41" i="1"/>
  <c r="D154" i="1" s="1"/>
  <c r="D42" i="1"/>
  <c r="D166" i="1" s="1"/>
  <c r="D27" i="1"/>
  <c r="D33" i="1"/>
  <c r="C26" i="1"/>
  <c r="E9" i="1"/>
  <c r="E58" i="1" l="1"/>
  <c r="E64" i="1" s="1"/>
  <c r="E60" i="1"/>
  <c r="E84" i="1"/>
  <c r="F84" i="1" s="1"/>
  <c r="D99" i="1"/>
  <c r="D116" i="1" s="1"/>
  <c r="D149" i="1"/>
  <c r="D101" i="1"/>
  <c r="D100" i="1"/>
  <c r="D113" i="1"/>
  <c r="D105" i="1"/>
  <c r="D107" i="1" s="1"/>
  <c r="D75" i="1"/>
  <c r="D150" i="1" s="1"/>
  <c r="E59" i="1"/>
  <c r="D135" i="1"/>
  <c r="D36" i="1"/>
  <c r="F9" i="1"/>
  <c r="F10" i="1" s="1"/>
  <c r="E35" i="1"/>
  <c r="D44" i="1"/>
  <c r="D45" i="1" s="1"/>
  <c r="D129" i="1" s="1"/>
  <c r="E10" i="1"/>
  <c r="F59" i="1" l="1"/>
  <c r="G59" i="1" s="1"/>
  <c r="E65" i="1"/>
  <c r="E70" i="1" s="1"/>
  <c r="E75" i="1" s="1"/>
  <c r="E150" i="1" s="1"/>
  <c r="F60" i="1"/>
  <c r="G60" i="1" s="1"/>
  <c r="E66" i="1"/>
  <c r="E71" i="1" s="1"/>
  <c r="E69" i="1"/>
  <c r="E74" i="1" s="1"/>
  <c r="D152" i="1"/>
  <c r="F58" i="1"/>
  <c r="E161" i="1"/>
  <c r="E104" i="1"/>
  <c r="E111" i="1"/>
  <c r="D117" i="1"/>
  <c r="G84" i="1"/>
  <c r="F161" i="1"/>
  <c r="F104" i="1"/>
  <c r="F111" i="1"/>
  <c r="G9" i="1"/>
  <c r="G10" i="1" s="1"/>
  <c r="F35" i="1"/>
  <c r="F32" i="1"/>
  <c r="F40" i="1"/>
  <c r="F155" i="1" s="1"/>
  <c r="F42" i="1"/>
  <c r="F166" i="1" s="1"/>
  <c r="F41" i="1"/>
  <c r="F154" i="1" s="1"/>
  <c r="F26" i="1"/>
  <c r="F33" i="1"/>
  <c r="F28" i="1"/>
  <c r="F114" i="1" s="1"/>
  <c r="F29" i="1"/>
  <c r="F115" i="1" s="1"/>
  <c r="F27" i="1"/>
  <c r="F113" i="1" s="1"/>
  <c r="F34" i="1"/>
  <c r="E41" i="1"/>
  <c r="E154" i="1" s="1"/>
  <c r="E42" i="1"/>
  <c r="E166" i="1" s="1"/>
  <c r="E40" i="1"/>
  <c r="E155" i="1" s="1"/>
  <c r="E26" i="1"/>
  <c r="E32" i="1"/>
  <c r="E33" i="1"/>
  <c r="E27" i="1"/>
  <c r="E113" i="1" s="1"/>
  <c r="E28" i="1"/>
  <c r="E114" i="1" s="1"/>
  <c r="E29" i="1"/>
  <c r="E115" i="1" s="1"/>
  <c r="E34" i="1"/>
  <c r="F66" i="1" l="1"/>
  <c r="F71" i="1" s="1"/>
  <c r="F76" i="1" s="1"/>
  <c r="F151" i="1" s="1"/>
  <c r="E76" i="1"/>
  <c r="E151" i="1" s="1"/>
  <c r="E119" i="1"/>
  <c r="E128" i="1" s="1"/>
  <c r="F65" i="1"/>
  <c r="F70" i="1" s="1"/>
  <c r="F75" i="1" s="1"/>
  <c r="F150" i="1" s="1"/>
  <c r="F64" i="1"/>
  <c r="F69" i="1" s="1"/>
  <c r="F74" i="1" s="1"/>
  <c r="F149" i="1" s="1"/>
  <c r="G58" i="1"/>
  <c r="E149" i="1"/>
  <c r="E99" i="1"/>
  <c r="E116" i="1" s="1"/>
  <c r="F105" i="1"/>
  <c r="F107" i="1" s="1"/>
  <c r="F112" i="1"/>
  <c r="H84" i="1"/>
  <c r="G161" i="1"/>
  <c r="E105" i="1"/>
  <c r="E107" i="1" s="1"/>
  <c r="E112" i="1"/>
  <c r="G111" i="1"/>
  <c r="G104" i="1"/>
  <c r="E36" i="1"/>
  <c r="E101" i="1"/>
  <c r="E100" i="1"/>
  <c r="F36" i="1"/>
  <c r="F101" i="1"/>
  <c r="F100" i="1"/>
  <c r="E44" i="1"/>
  <c r="E45" i="1" s="1"/>
  <c r="E129" i="1" s="1"/>
  <c r="F44" i="1"/>
  <c r="H9" i="1"/>
  <c r="H10" i="1" s="1"/>
  <c r="G35" i="1"/>
  <c r="H59" i="1"/>
  <c r="G42" i="1"/>
  <c r="G166" i="1" s="1"/>
  <c r="G41" i="1"/>
  <c r="G154" i="1" s="1"/>
  <c r="G40" i="1"/>
  <c r="G155" i="1" s="1"/>
  <c r="H60" i="1"/>
  <c r="G32" i="1"/>
  <c r="G33" i="1"/>
  <c r="G26" i="1"/>
  <c r="G34" i="1"/>
  <c r="G29" i="1"/>
  <c r="G115" i="1" s="1"/>
  <c r="G28" i="1"/>
  <c r="G114" i="1" s="1"/>
  <c r="G27" i="1"/>
  <c r="G113" i="1" s="1"/>
  <c r="G66" i="1" l="1"/>
  <c r="G71" i="1" s="1"/>
  <c r="H66" i="1" s="1"/>
  <c r="H71" i="1" s="1"/>
  <c r="E152" i="1"/>
  <c r="E117" i="1"/>
  <c r="F119" i="1"/>
  <c r="F128" i="1" s="1"/>
  <c r="F152" i="1"/>
  <c r="G64" i="1"/>
  <c r="G69" i="1" s="1"/>
  <c r="G74" i="1" s="1"/>
  <c r="G99" i="1" s="1"/>
  <c r="G116" i="1" s="1"/>
  <c r="H58" i="1"/>
  <c r="F99" i="1"/>
  <c r="F116" i="1" s="1"/>
  <c r="F117" i="1" s="1"/>
  <c r="G65" i="1"/>
  <c r="G70" i="1" s="1"/>
  <c r="H65" i="1" s="1"/>
  <c r="H111" i="1"/>
  <c r="H104" i="1"/>
  <c r="I84" i="1"/>
  <c r="H161" i="1"/>
  <c r="G112" i="1"/>
  <c r="G105" i="1"/>
  <c r="G107" i="1" s="1"/>
  <c r="G100" i="1"/>
  <c r="G101" i="1"/>
  <c r="G36" i="1"/>
  <c r="F45" i="1"/>
  <c r="F129" i="1" s="1"/>
  <c r="G44" i="1"/>
  <c r="G45" i="1" s="1"/>
  <c r="G129" i="1" s="1"/>
  <c r="I9" i="1"/>
  <c r="I10" i="1" s="1"/>
  <c r="H35" i="1"/>
  <c r="I60" i="1"/>
  <c r="H42" i="1"/>
  <c r="H166" i="1" s="1"/>
  <c r="H41" i="1"/>
  <c r="H154" i="1" s="1"/>
  <c r="H40" i="1"/>
  <c r="H155" i="1" s="1"/>
  <c r="I59" i="1"/>
  <c r="H33" i="1"/>
  <c r="H32" i="1"/>
  <c r="H27" i="1"/>
  <c r="H113" i="1" s="1"/>
  <c r="H26" i="1"/>
  <c r="H34" i="1"/>
  <c r="H29" i="1"/>
  <c r="H115" i="1" s="1"/>
  <c r="H28" i="1"/>
  <c r="H114" i="1" s="1"/>
  <c r="G76" i="1" l="1"/>
  <c r="G151" i="1" s="1"/>
  <c r="G149" i="1"/>
  <c r="I58" i="1"/>
  <c r="H64" i="1"/>
  <c r="H69" i="1" s="1"/>
  <c r="H74" i="1" s="1"/>
  <c r="H99" i="1" s="1"/>
  <c r="H116" i="1" s="1"/>
  <c r="G119" i="1"/>
  <c r="G128" i="1" s="1"/>
  <c r="G117" i="1"/>
  <c r="G75" i="1"/>
  <c r="G150" i="1" s="1"/>
  <c r="I111" i="1"/>
  <c r="I104" i="1"/>
  <c r="J84" i="1"/>
  <c r="I161" i="1"/>
  <c r="H112" i="1"/>
  <c r="H105" i="1"/>
  <c r="H107" i="1" s="1"/>
  <c r="H100" i="1"/>
  <c r="H101" i="1"/>
  <c r="H70" i="1"/>
  <c r="I65" i="1" s="1"/>
  <c r="H36" i="1"/>
  <c r="J9" i="1"/>
  <c r="J10" i="1" s="1"/>
  <c r="I35" i="1"/>
  <c r="H44" i="1"/>
  <c r="H45" i="1" s="1"/>
  <c r="H129" i="1" s="1"/>
  <c r="I66" i="1"/>
  <c r="I71" i="1" s="1"/>
  <c r="H76" i="1"/>
  <c r="H151" i="1" s="1"/>
  <c r="I42" i="1"/>
  <c r="I166" i="1" s="1"/>
  <c r="I41" i="1"/>
  <c r="I154" i="1" s="1"/>
  <c r="I40" i="1"/>
  <c r="I155" i="1" s="1"/>
  <c r="J59" i="1"/>
  <c r="J60" i="1"/>
  <c r="I33" i="1"/>
  <c r="I32" i="1"/>
  <c r="I27" i="1"/>
  <c r="I113" i="1" s="1"/>
  <c r="I26" i="1"/>
  <c r="I34" i="1"/>
  <c r="I29" i="1"/>
  <c r="I115" i="1" s="1"/>
  <c r="I28" i="1"/>
  <c r="I114" i="1" s="1"/>
  <c r="G152" i="1" l="1"/>
  <c r="H119" i="1"/>
  <c r="H128" i="1" s="1"/>
  <c r="H149" i="1"/>
  <c r="J58" i="1"/>
  <c r="I64" i="1"/>
  <c r="I69" i="1" s="1"/>
  <c r="I74" i="1" s="1"/>
  <c r="I99" i="1" s="1"/>
  <c r="I116" i="1" s="1"/>
  <c r="H117" i="1"/>
  <c r="I112" i="1"/>
  <c r="I105" i="1"/>
  <c r="I107" i="1" s="1"/>
  <c r="J111" i="1"/>
  <c r="J104" i="1"/>
  <c r="K84" i="1"/>
  <c r="J161" i="1"/>
  <c r="I100" i="1"/>
  <c r="I101" i="1"/>
  <c r="H75" i="1"/>
  <c r="H150" i="1" s="1"/>
  <c r="I36" i="1"/>
  <c r="I70" i="1"/>
  <c r="J65" i="1" s="1"/>
  <c r="J35" i="1"/>
  <c r="K9" i="1"/>
  <c r="K10" i="1" s="1"/>
  <c r="J66" i="1"/>
  <c r="J71" i="1" s="1"/>
  <c r="I76" i="1"/>
  <c r="I151" i="1" s="1"/>
  <c r="K60" i="1"/>
  <c r="J42" i="1"/>
  <c r="J166" i="1" s="1"/>
  <c r="J41" i="1"/>
  <c r="J154" i="1" s="1"/>
  <c r="J40" i="1"/>
  <c r="J155" i="1" s="1"/>
  <c r="K59" i="1"/>
  <c r="I44" i="1"/>
  <c r="I45" i="1" s="1"/>
  <c r="I129" i="1" s="1"/>
  <c r="J33" i="1"/>
  <c r="J32" i="1"/>
  <c r="J27" i="1"/>
  <c r="J113" i="1" s="1"/>
  <c r="J26" i="1"/>
  <c r="J34" i="1"/>
  <c r="J29" i="1"/>
  <c r="J115" i="1" s="1"/>
  <c r="J28" i="1"/>
  <c r="J114" i="1" s="1"/>
  <c r="H152" i="1" l="1"/>
  <c r="I119" i="1"/>
  <c r="I128" i="1" s="1"/>
  <c r="I149" i="1"/>
  <c r="J64" i="1"/>
  <c r="J69" i="1" s="1"/>
  <c r="J74" i="1" s="1"/>
  <c r="J99" i="1" s="1"/>
  <c r="J116" i="1" s="1"/>
  <c r="K58" i="1"/>
  <c r="I117" i="1"/>
  <c r="J112" i="1"/>
  <c r="J105" i="1"/>
  <c r="J107" i="1" s="1"/>
  <c r="L84" i="1"/>
  <c r="K161" i="1"/>
  <c r="K111" i="1"/>
  <c r="K104" i="1"/>
  <c r="J101" i="1"/>
  <c r="J100" i="1"/>
  <c r="J36" i="1"/>
  <c r="J70" i="1"/>
  <c r="K65" i="1" s="1"/>
  <c r="I75" i="1"/>
  <c r="I150" i="1" s="1"/>
  <c r="K35" i="1"/>
  <c r="L9" i="1"/>
  <c r="L10" i="1" s="1"/>
  <c r="K66" i="1"/>
  <c r="K71" i="1" s="1"/>
  <c r="J76" i="1"/>
  <c r="J151" i="1" s="1"/>
  <c r="K42" i="1"/>
  <c r="K166" i="1" s="1"/>
  <c r="K40" i="1"/>
  <c r="K155" i="1" s="1"/>
  <c r="K41" i="1"/>
  <c r="K154" i="1" s="1"/>
  <c r="L60" i="1"/>
  <c r="L59" i="1"/>
  <c r="J44" i="1"/>
  <c r="J45" i="1" s="1"/>
  <c r="J129" i="1" s="1"/>
  <c r="K33" i="1"/>
  <c r="K32" i="1"/>
  <c r="K28" i="1"/>
  <c r="K114" i="1" s="1"/>
  <c r="K27" i="1"/>
  <c r="K113" i="1" s="1"/>
  <c r="K34" i="1"/>
  <c r="K26" i="1"/>
  <c r="K29" i="1"/>
  <c r="K115" i="1" s="1"/>
  <c r="M7" i="1"/>
  <c r="I152" i="1" l="1"/>
  <c r="J119" i="1"/>
  <c r="J128" i="1" s="1"/>
  <c r="J149" i="1"/>
  <c r="K64" i="1"/>
  <c r="K69" i="1" s="1"/>
  <c r="K74" i="1" s="1"/>
  <c r="L58" i="1"/>
  <c r="J117" i="1"/>
  <c r="K112" i="1"/>
  <c r="K105" i="1"/>
  <c r="K107" i="1" s="1"/>
  <c r="L111" i="1"/>
  <c r="L104" i="1"/>
  <c r="M84" i="1"/>
  <c r="M161" i="1" s="1"/>
  <c r="L161" i="1"/>
  <c r="K101" i="1"/>
  <c r="K100" i="1"/>
  <c r="K70" i="1"/>
  <c r="L65" i="1" s="1"/>
  <c r="K36" i="1"/>
  <c r="J75" i="1"/>
  <c r="J150" i="1" s="1"/>
  <c r="L35" i="1"/>
  <c r="M9" i="1"/>
  <c r="M35" i="1" s="1"/>
  <c r="M10" i="1"/>
  <c r="L66" i="1"/>
  <c r="L71" i="1" s="1"/>
  <c r="K76" i="1"/>
  <c r="K151" i="1" s="1"/>
  <c r="K44" i="1"/>
  <c r="K45" i="1" s="1"/>
  <c r="K129" i="1" s="1"/>
  <c r="L42" i="1"/>
  <c r="L166" i="1" s="1"/>
  <c r="L41" i="1"/>
  <c r="L154" i="1" s="1"/>
  <c r="L40" i="1"/>
  <c r="L155" i="1" s="1"/>
  <c r="M60" i="1"/>
  <c r="M59" i="1"/>
  <c r="L33" i="1"/>
  <c r="L32" i="1"/>
  <c r="L28" i="1"/>
  <c r="L114" i="1" s="1"/>
  <c r="L27" i="1"/>
  <c r="L113" i="1" s="1"/>
  <c r="L26" i="1"/>
  <c r="L34" i="1"/>
  <c r="L29" i="1"/>
  <c r="L115" i="1" s="1"/>
  <c r="K119" i="1" l="1"/>
  <c r="K128" i="1" s="1"/>
  <c r="J152" i="1"/>
  <c r="L64" i="1"/>
  <c r="L69" i="1" s="1"/>
  <c r="L74" i="1" s="1"/>
  <c r="L149" i="1" s="1"/>
  <c r="M58" i="1"/>
  <c r="K149" i="1"/>
  <c r="K99" i="1"/>
  <c r="K116" i="1" s="1"/>
  <c r="K117" i="1" s="1"/>
  <c r="L112" i="1"/>
  <c r="L105" i="1"/>
  <c r="L107" i="1" s="1"/>
  <c r="M111" i="1"/>
  <c r="M104" i="1"/>
  <c r="M34" i="1"/>
  <c r="M100" i="1" s="1"/>
  <c r="M29" i="1"/>
  <c r="M115" i="1" s="1"/>
  <c r="M42" i="1"/>
  <c r="M166" i="1" s="1"/>
  <c r="L101" i="1"/>
  <c r="L100" i="1"/>
  <c r="K75" i="1"/>
  <c r="K150" i="1" s="1"/>
  <c r="M27" i="1"/>
  <c r="M113" i="1" s="1"/>
  <c r="M26" i="1"/>
  <c r="M28" i="1"/>
  <c r="M114" i="1" s="1"/>
  <c r="L36" i="1"/>
  <c r="M41" i="1"/>
  <c r="M154" i="1" s="1"/>
  <c r="M32" i="1"/>
  <c r="M40" i="1"/>
  <c r="M155" i="1" s="1"/>
  <c r="L70" i="1"/>
  <c r="M65" i="1" s="1"/>
  <c r="M33" i="1"/>
  <c r="L44" i="1"/>
  <c r="L45" i="1" s="1"/>
  <c r="L129" i="1" s="1"/>
  <c r="M66" i="1"/>
  <c r="M71" i="1" s="1"/>
  <c r="M76" i="1" s="1"/>
  <c r="M151" i="1" s="1"/>
  <c r="L76" i="1"/>
  <c r="L151" i="1" s="1"/>
  <c r="K152" i="1" l="1"/>
  <c r="L119" i="1"/>
  <c r="L128" i="1" s="1"/>
  <c r="L99" i="1"/>
  <c r="L116" i="1" s="1"/>
  <c r="L117" i="1" s="1"/>
  <c r="M64" i="1"/>
  <c r="M69" i="1" s="1"/>
  <c r="M74" i="1" s="1"/>
  <c r="M112" i="1"/>
  <c r="M105" i="1"/>
  <c r="M107" i="1" s="1"/>
  <c r="M101" i="1"/>
  <c r="M36" i="1"/>
  <c r="M44" i="1"/>
  <c r="M45" i="1" s="1"/>
  <c r="M129" i="1" s="1"/>
  <c r="L75" i="1"/>
  <c r="L150" i="1" s="1"/>
  <c r="L152" i="1" s="1"/>
  <c r="M70" i="1"/>
  <c r="M75" i="1" s="1"/>
  <c r="M150" i="1" s="1"/>
  <c r="G138" i="1"/>
  <c r="H138" i="1"/>
  <c r="I138" i="1"/>
  <c r="J138" i="1"/>
  <c r="K138" i="1"/>
  <c r="L138" i="1"/>
  <c r="M138" i="1"/>
  <c r="D139" i="1"/>
  <c r="M119" i="1" l="1"/>
  <c r="M128" i="1" s="1"/>
  <c r="M149" i="1"/>
  <c r="M152" i="1" s="1"/>
  <c r="M99" i="1"/>
  <c r="M116" i="1" s="1"/>
  <c r="M117" i="1" s="1"/>
  <c r="F88" i="1" l="1"/>
  <c r="F138" i="1" s="1"/>
  <c r="E89" i="1"/>
  <c r="E139" i="1" s="1"/>
  <c r="E94" i="1"/>
  <c r="P1" i="1"/>
  <c r="P2" i="1"/>
  <c r="D86" i="1"/>
  <c r="E86" i="1"/>
  <c r="F86" i="1"/>
  <c r="G86" i="1"/>
  <c r="H86" i="1"/>
  <c r="I86" i="1"/>
  <c r="J86" i="1"/>
  <c r="K86" i="1"/>
  <c r="L86" i="1"/>
  <c r="M86" i="1"/>
  <c r="D88" i="1"/>
  <c r="E88" i="1"/>
  <c r="F89" i="1"/>
  <c r="G89" i="1"/>
  <c r="H89" i="1"/>
  <c r="I89" i="1"/>
  <c r="J89" i="1"/>
  <c r="K89" i="1"/>
  <c r="L89" i="1"/>
  <c r="M89" i="1"/>
  <c r="D90" i="1"/>
  <c r="E90" i="1"/>
  <c r="F90" i="1"/>
  <c r="G90" i="1"/>
  <c r="H90" i="1"/>
  <c r="I90" i="1"/>
  <c r="J90" i="1"/>
  <c r="K90" i="1"/>
  <c r="L90" i="1"/>
  <c r="M90" i="1"/>
  <c r="D91" i="1"/>
  <c r="E91" i="1"/>
  <c r="F91" i="1"/>
  <c r="G91" i="1"/>
  <c r="H91" i="1"/>
  <c r="I91" i="1"/>
  <c r="J91" i="1"/>
  <c r="K91" i="1"/>
  <c r="L91" i="1"/>
  <c r="M91" i="1"/>
  <c r="D93" i="1"/>
  <c r="E93" i="1"/>
  <c r="F93" i="1"/>
  <c r="G93" i="1"/>
  <c r="H93" i="1"/>
  <c r="I93" i="1"/>
  <c r="J93" i="1"/>
  <c r="K93" i="1"/>
  <c r="L93" i="1"/>
  <c r="M93" i="1"/>
  <c r="F94" i="1"/>
  <c r="G94" i="1"/>
  <c r="H94" i="1"/>
  <c r="I94" i="1"/>
  <c r="J94" i="1"/>
  <c r="K94" i="1"/>
  <c r="L94" i="1"/>
  <c r="M94" i="1"/>
  <c r="D98" i="1"/>
  <c r="E98" i="1"/>
  <c r="F98" i="1"/>
  <c r="G98" i="1"/>
  <c r="H98" i="1"/>
  <c r="I98" i="1"/>
  <c r="J98" i="1"/>
  <c r="K98" i="1"/>
  <c r="L98" i="1"/>
  <c r="M98" i="1"/>
  <c r="D120" i="1"/>
  <c r="E120" i="1"/>
  <c r="F120" i="1"/>
  <c r="G120" i="1"/>
  <c r="H120" i="1"/>
  <c r="I120" i="1"/>
  <c r="J120" i="1"/>
  <c r="K120" i="1"/>
  <c r="L120" i="1"/>
  <c r="M120" i="1"/>
  <c r="D121" i="1"/>
  <c r="E121" i="1"/>
  <c r="F121" i="1"/>
  <c r="G121" i="1"/>
  <c r="H121" i="1"/>
  <c r="I121" i="1"/>
  <c r="J121" i="1"/>
  <c r="K121" i="1"/>
  <c r="L121" i="1"/>
  <c r="M121" i="1"/>
  <c r="D122" i="1"/>
  <c r="E122" i="1"/>
  <c r="F122" i="1"/>
  <c r="G122" i="1"/>
  <c r="H122" i="1"/>
  <c r="I122" i="1"/>
  <c r="J122" i="1"/>
  <c r="K122" i="1"/>
  <c r="L122" i="1"/>
  <c r="M122" i="1"/>
  <c r="D123" i="1"/>
  <c r="E123" i="1"/>
  <c r="F123" i="1"/>
  <c r="G123" i="1"/>
  <c r="H123" i="1"/>
  <c r="I123" i="1"/>
  <c r="J123" i="1"/>
  <c r="K123" i="1"/>
  <c r="L123" i="1"/>
  <c r="M123" i="1"/>
  <c r="D127" i="1"/>
  <c r="E127" i="1"/>
  <c r="F127" i="1"/>
  <c r="G127" i="1"/>
  <c r="H127" i="1"/>
  <c r="I127" i="1"/>
  <c r="J127" i="1"/>
  <c r="K127" i="1"/>
  <c r="L127" i="1"/>
  <c r="M127" i="1"/>
  <c r="D130" i="1"/>
  <c r="E130" i="1"/>
  <c r="F130" i="1"/>
  <c r="G130" i="1"/>
  <c r="H130" i="1"/>
  <c r="I130" i="1"/>
  <c r="J130" i="1"/>
  <c r="K130" i="1"/>
  <c r="L130" i="1"/>
  <c r="M130" i="1"/>
  <c r="D138" i="1"/>
  <c r="E138" i="1"/>
  <c r="F139" i="1"/>
  <c r="G139" i="1"/>
  <c r="H139" i="1"/>
  <c r="I139" i="1"/>
  <c r="J139" i="1"/>
  <c r="K139" i="1"/>
  <c r="L139" i="1"/>
  <c r="M139" i="1"/>
  <c r="D140" i="1"/>
  <c r="E140" i="1"/>
  <c r="F140" i="1"/>
  <c r="G140" i="1"/>
  <c r="H140" i="1"/>
  <c r="I140" i="1"/>
  <c r="J140" i="1"/>
  <c r="K140" i="1"/>
  <c r="L140" i="1"/>
  <c r="M140" i="1"/>
  <c r="D141" i="1"/>
  <c r="E141" i="1"/>
  <c r="F141" i="1"/>
  <c r="G141" i="1"/>
  <c r="H141" i="1"/>
  <c r="I141" i="1"/>
  <c r="J141" i="1"/>
  <c r="K141" i="1"/>
  <c r="L141" i="1"/>
  <c r="M141" i="1"/>
  <c r="D143" i="1"/>
  <c r="E143" i="1"/>
  <c r="F143" i="1"/>
  <c r="G143" i="1"/>
  <c r="H143" i="1"/>
  <c r="I143" i="1"/>
  <c r="J143" i="1"/>
  <c r="K143" i="1"/>
  <c r="L143" i="1"/>
  <c r="M143" i="1"/>
  <c r="E144" i="1"/>
  <c r="F144" i="1"/>
  <c r="G144" i="1"/>
  <c r="H144" i="1"/>
  <c r="I144" i="1"/>
  <c r="J144" i="1"/>
  <c r="K144" i="1"/>
  <c r="L144" i="1"/>
  <c r="M144" i="1"/>
  <c r="D145" i="1"/>
  <c r="E145" i="1"/>
  <c r="F145" i="1"/>
  <c r="G145" i="1"/>
  <c r="H145" i="1"/>
  <c r="I145" i="1"/>
  <c r="J145" i="1"/>
  <c r="K145" i="1"/>
  <c r="L145" i="1"/>
  <c r="M145" i="1"/>
  <c r="D156" i="1"/>
  <c r="E156" i="1"/>
  <c r="F156" i="1"/>
  <c r="G156" i="1"/>
  <c r="H156" i="1"/>
  <c r="I156" i="1"/>
  <c r="J156" i="1"/>
  <c r="K156" i="1"/>
  <c r="L156" i="1"/>
  <c r="M156" i="1"/>
  <c r="D157" i="1"/>
  <c r="E157" i="1"/>
  <c r="F157" i="1"/>
  <c r="G157" i="1"/>
  <c r="H157" i="1"/>
  <c r="I157" i="1"/>
  <c r="J157" i="1"/>
  <c r="K157" i="1"/>
  <c r="L157" i="1"/>
  <c r="M157" i="1"/>
  <c r="D159" i="1"/>
  <c r="E159" i="1"/>
  <c r="F159" i="1"/>
  <c r="G159" i="1"/>
  <c r="H159" i="1"/>
  <c r="I159" i="1"/>
  <c r="J159" i="1"/>
  <c r="K159" i="1"/>
  <c r="L159" i="1"/>
  <c r="M159" i="1"/>
  <c r="D162" i="1"/>
  <c r="E162" i="1"/>
  <c r="F162" i="1"/>
  <c r="G162" i="1"/>
  <c r="H162" i="1"/>
  <c r="I162" i="1"/>
  <c r="J162" i="1"/>
  <c r="K162" i="1"/>
  <c r="L162" i="1"/>
  <c r="M162" i="1"/>
  <c r="D163" i="1"/>
  <c r="E163" i="1"/>
  <c r="F163" i="1"/>
  <c r="G163" i="1"/>
  <c r="H163" i="1"/>
  <c r="I163" i="1"/>
  <c r="J163" i="1"/>
  <c r="K163" i="1"/>
  <c r="L163" i="1"/>
  <c r="M163" i="1"/>
  <c r="D165" i="1"/>
  <c r="E165" i="1"/>
  <c r="F165" i="1"/>
  <c r="G165" i="1"/>
  <c r="H165" i="1"/>
  <c r="I165" i="1"/>
  <c r="J165" i="1"/>
  <c r="K165" i="1"/>
  <c r="L165" i="1"/>
  <c r="M165" i="1"/>
  <c r="D168" i="1"/>
  <c r="E168" i="1"/>
  <c r="F168" i="1"/>
  <c r="G168" i="1"/>
  <c r="H168" i="1"/>
  <c r="I168" i="1"/>
  <c r="J168" i="1"/>
  <c r="K168" i="1"/>
  <c r="L168" i="1"/>
  <c r="M168" i="1"/>
  <c r="B169" i="1"/>
  <c r="D169" i="1"/>
  <c r="E169" i="1"/>
  <c r="F169" i="1"/>
  <c r="G169" i="1"/>
  <c r="H169" i="1"/>
  <c r="I169" i="1"/>
  <c r="J169" i="1"/>
  <c r="K169" i="1"/>
  <c r="L169" i="1"/>
  <c r="M169" i="1"/>
  <c r="D173" i="1"/>
  <c r="E173" i="1"/>
  <c r="F173" i="1"/>
  <c r="G173" i="1"/>
  <c r="H173" i="1"/>
  <c r="I173" i="1"/>
  <c r="J173" i="1"/>
  <c r="K173" i="1"/>
  <c r="L173" i="1"/>
  <c r="M173" i="1"/>
  <c r="D176" i="1"/>
  <c r="E176" i="1"/>
  <c r="F176" i="1"/>
  <c r="G176" i="1"/>
  <c r="H176" i="1"/>
  <c r="I176" i="1"/>
  <c r="J176" i="1"/>
  <c r="K176" i="1"/>
  <c r="L176" i="1"/>
  <c r="M176" i="1"/>
  <c r="B178" i="1"/>
  <c r="B179" i="1"/>
  <c r="D181" i="1"/>
  <c r="E181" i="1"/>
  <c r="F181" i="1"/>
  <c r="G181" i="1"/>
  <c r="H181" i="1"/>
  <c r="I181" i="1"/>
  <c r="J181" i="1"/>
  <c r="K181" i="1"/>
  <c r="L181" i="1"/>
  <c r="M181" i="1"/>
  <c r="D182" i="1"/>
  <c r="E182" i="1"/>
  <c r="F182" i="1"/>
  <c r="G182" i="1"/>
  <c r="H182" i="1"/>
  <c r="I182" i="1"/>
  <c r="J182" i="1"/>
  <c r="K182" i="1"/>
  <c r="L182" i="1"/>
  <c r="M182" i="1"/>
</calcChain>
</file>

<file path=xl/sharedStrings.xml><?xml version="1.0" encoding="utf-8"?>
<sst xmlns="http://schemas.openxmlformats.org/spreadsheetml/2006/main" count="173" uniqueCount="116">
  <si>
    <t>Год 1</t>
  </si>
  <si>
    <t>Год 2</t>
  </si>
  <si>
    <t>Год 3</t>
  </si>
  <si>
    <t>Год 4</t>
  </si>
  <si>
    <t>Год 5</t>
  </si>
  <si>
    <t>Год 6</t>
  </si>
  <si>
    <t>Год 7</t>
  </si>
  <si>
    <t>Год 8</t>
  </si>
  <si>
    <t>Год 9</t>
  </si>
  <si>
    <t>Год 10</t>
  </si>
  <si>
    <t>Коэффициент выхода на план выручки</t>
  </si>
  <si>
    <t>%</t>
  </si>
  <si>
    <t>Инфляция</t>
  </si>
  <si>
    <t>Выручка</t>
  </si>
  <si>
    <t>Индекс инфляции</t>
  </si>
  <si>
    <t>Структура операционных расходов</t>
  </si>
  <si>
    <t>Прямые издержки</t>
  </si>
  <si>
    <t>Общепроизводственные издержки</t>
  </si>
  <si>
    <t>Коммерческие издержки</t>
  </si>
  <si>
    <t>Административные издержки</t>
  </si>
  <si>
    <t>Среднемесячная зарплата</t>
  </si>
  <si>
    <t>Численность персонала</t>
  </si>
  <si>
    <t>Целевая выручка в ценах первого года</t>
  </si>
  <si>
    <t>Операционные расходы</t>
  </si>
  <si>
    <t>тыс. руб.</t>
  </si>
  <si>
    <t>чел.</t>
  </si>
  <si>
    <t>Планирование в тыс. или млн?</t>
  </si>
  <si>
    <t>В том числе отдельные статьи расходов:</t>
  </si>
  <si>
    <t>Расходы на персонал</t>
  </si>
  <si>
    <t>Коммунальные услуги</t>
  </si>
  <si>
    <t>Обслуживание основных фондов</t>
  </si>
  <si>
    <t>Оборотный капитал</t>
  </si>
  <si>
    <t>Дебиторская задолженность</t>
  </si>
  <si>
    <t>Запасы</t>
  </si>
  <si>
    <t>Кредиторская задолженность</t>
  </si>
  <si>
    <t>Цикл, дн.</t>
  </si>
  <si>
    <t>Чистый оборотный капитал</t>
  </si>
  <si>
    <t>Прирост чистого оборотного капитала</t>
  </si>
  <si>
    <t>Инвестиции</t>
  </si>
  <si>
    <t>Инвестиции в % от целевой выручки</t>
  </si>
  <si>
    <t>Распределение по периодам</t>
  </si>
  <si>
    <t>в том числе:</t>
  </si>
  <si>
    <t>Недвижимость</t>
  </si>
  <si>
    <t>Оборудование</t>
  </si>
  <si>
    <t>Нематериальные активы</t>
  </si>
  <si>
    <t>Сумма инвестиций по периодам</t>
  </si>
  <si>
    <t>Начальная стоимость активов</t>
  </si>
  <si>
    <t>Амортизация начисляется с периода</t>
  </si>
  <si>
    <t>Остаточная стоимость активов</t>
  </si>
  <si>
    <t>Накопленная амортизация</t>
  </si>
  <si>
    <t>Финансирование</t>
  </si>
  <si>
    <t>Доля собственного капитала</t>
  </si>
  <si>
    <t>Доля заемного капитала</t>
  </si>
  <si>
    <t>Акционерный капитал в балансе</t>
  </si>
  <si>
    <t>Дивиденды в % от чистой прибыли</t>
  </si>
  <si>
    <t>Выплаты дивидендов</t>
  </si>
  <si>
    <t>Срок, лет</t>
  </si>
  <si>
    <t>Поступление кредита</t>
  </si>
  <si>
    <t>Возврат кредита</t>
  </si>
  <si>
    <t>Задолженность в течение периода</t>
  </si>
  <si>
    <t>Задолженность на конец периода</t>
  </si>
  <si>
    <t>Ставка процентов</t>
  </si>
  <si>
    <t>Начисленные проценты</t>
  </si>
  <si>
    <t>Целевой и фактический DSCR</t>
  </si>
  <si>
    <t>раз</t>
  </si>
  <si>
    <t>Отчет о прибылях и убытках</t>
  </si>
  <si>
    <t>Доходы от продаж</t>
  </si>
  <si>
    <t>Налог на имущество</t>
  </si>
  <si>
    <t>EBITDA</t>
  </si>
  <si>
    <t>Амортизация</t>
  </si>
  <si>
    <t>Проценты по кредитам</t>
  </si>
  <si>
    <t>Налогооблагаемая прибыль</t>
  </si>
  <si>
    <t>Налог на прибыль</t>
  </si>
  <si>
    <t>Чистая прибыль</t>
  </si>
  <si>
    <t>Отчет о движении денежных средств</t>
  </si>
  <si>
    <t>Поступления собственного капитала</t>
  </si>
  <si>
    <t>Поступления кредитов</t>
  </si>
  <si>
    <t>Выплаты кредитов</t>
  </si>
  <si>
    <t>Суммарный денежный поток</t>
  </si>
  <si>
    <t>Операционные денежные потоки</t>
  </si>
  <si>
    <t>Инвестиционные денежные потоки</t>
  </si>
  <si>
    <t>Финансовые денежные потоки</t>
  </si>
  <si>
    <t>Деньги на начало периода</t>
  </si>
  <si>
    <t>Деньги на конец периода</t>
  </si>
  <si>
    <t>Вложения акционерного капитала</t>
  </si>
  <si>
    <t>Баланс</t>
  </si>
  <si>
    <t>Налоговые платежи</t>
  </si>
  <si>
    <t>Показатели эффективности</t>
  </si>
  <si>
    <t>Суммарные долгосрочные активы</t>
  </si>
  <si>
    <t>Денежные средства</t>
  </si>
  <si>
    <t>Суммарные текущие активы</t>
  </si>
  <si>
    <t>ИТОГО АКТИВЫ</t>
  </si>
  <si>
    <t>Акционерный капитал</t>
  </si>
  <si>
    <t>Суммарный собственный капитал</t>
  </si>
  <si>
    <t>Кредиты</t>
  </si>
  <si>
    <t>ИТОГО ПАССИВЫ</t>
  </si>
  <si>
    <t>Контроль сходимости баланса</t>
  </si>
  <si>
    <t>Нераспределенная прибыль</t>
  </si>
  <si>
    <t>Социальные взносы</t>
  </si>
  <si>
    <t>НДФЛ</t>
  </si>
  <si>
    <t>НДС с продаж</t>
  </si>
  <si>
    <t>НДС с операционных расходов</t>
  </si>
  <si>
    <t>Расчет платежей НДС</t>
  </si>
  <si>
    <t>НДС с инвестиций</t>
  </si>
  <si>
    <t>Баланс платежей НДС</t>
  </si>
  <si>
    <t>Свободный денежный поток акционера, FCFE</t>
  </si>
  <si>
    <t>Ставка дисконтирования</t>
  </si>
  <si>
    <t>Индекс дисконтирования</t>
  </si>
  <si>
    <t>Дисконтированный FCFE</t>
  </si>
  <si>
    <t>Чистая приведенная стоимость, NPV</t>
  </si>
  <si>
    <t>Внутренняя норма рентабельности, IRR</t>
  </si>
  <si>
    <t>Недисконтированная окупаемость проекта</t>
  </si>
  <si>
    <t>Дисконтированная окупаемость проекта</t>
  </si>
  <si>
    <t xml:space="preserve">NPV = </t>
  </si>
  <si>
    <t xml:space="preserve">IRR = </t>
  </si>
  <si>
    <t>Тепличный комплекс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</si>
</sst>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4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4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0" tint="-0.49998474074526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Border="0" applyAlignment="0" applyProtection="0"/>
    <xf numFmtId="2" fontId="5" fillId="0" borderId="0" applyNumberFormat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0" borderId="0" xfId="0" applyFont="1"/>
    <xf numFmtId="0" fontId="5" fillId="0" borderId="0" xfId="2" applyNumberFormat="1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5" fillId="0" borderId="0" xfId="2" applyNumberFormat="1" applyFont="1"/>
    <xf numFmtId="0" fontId="4" fillId="0" borderId="0" xfId="0" applyFont="1" applyAlignment="1">
      <alignment horizontal="center"/>
    </xf>
    <xf numFmtId="164" fontId="5" fillId="0" borderId="0" xfId="2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164" fontId="5" fillId="0" borderId="0" xfId="2" applyNumberFormat="1" applyFont="1"/>
    <xf numFmtId="3" fontId="4" fillId="0" borderId="0" xfId="0" applyNumberFormat="1" applyFont="1" applyAlignment="1">
      <alignment horizontal="right"/>
    </xf>
    <xf numFmtId="165" fontId="5" fillId="0" borderId="0" xfId="2" applyNumberFormat="1" applyFont="1"/>
    <xf numFmtId="166" fontId="4" fillId="0" borderId="0" xfId="0" applyNumberFormat="1" applyFont="1" applyAlignment="1">
      <alignment horizontal="right"/>
    </xf>
    <xf numFmtId="9" fontId="5" fillId="0" borderId="0" xfId="2" applyNumberFormat="1" applyFont="1"/>
    <xf numFmtId="9" fontId="5" fillId="0" borderId="0" xfId="2" applyNumberFormat="1" applyFont="1" applyAlignment="1">
      <alignment horizontal="right"/>
    </xf>
    <xf numFmtId="3" fontId="4" fillId="0" borderId="0" xfId="0" applyNumberFormat="1" applyFont="1"/>
    <xf numFmtId="9" fontId="4" fillId="0" borderId="0" xfId="0" applyNumberFormat="1" applyFont="1"/>
    <xf numFmtId="164" fontId="4" fillId="0" borderId="0" xfId="1" applyNumberFormat="1" applyFont="1" applyAlignment="1">
      <alignment horizontal="right"/>
    </xf>
    <xf numFmtId="0" fontId="6" fillId="0" borderId="0" xfId="0" applyFont="1"/>
    <xf numFmtId="164" fontId="5" fillId="0" borderId="0" xfId="2" applyNumberFormat="1"/>
    <xf numFmtId="9" fontId="5" fillId="0" borderId="0" xfId="2" applyNumberFormat="1"/>
    <xf numFmtId="2" fontId="4" fillId="0" borderId="0" xfId="0" applyNumberFormat="1" applyFont="1" applyAlignment="1">
      <alignment horizontal="right"/>
    </xf>
    <xf numFmtId="3" fontId="6" fillId="0" borderId="0" xfId="0" applyNumberFormat="1" applyFont="1"/>
    <xf numFmtId="9" fontId="6" fillId="0" borderId="0" xfId="0" applyNumberFormat="1" applyFont="1"/>
    <xf numFmtId="0" fontId="7" fillId="2" borderId="0" xfId="0" applyFont="1" applyFill="1" applyAlignment="1">
      <alignment horizontal="right"/>
    </xf>
    <xf numFmtId="3" fontId="7" fillId="2" borderId="0" xfId="0" applyNumberFormat="1" applyFont="1" applyFill="1" applyAlignment="1">
      <alignment horizontal="left"/>
    </xf>
    <xf numFmtId="9" fontId="7" fillId="2" borderId="0" xfId="0" applyNumberFormat="1" applyFont="1" applyFill="1" applyAlignment="1">
      <alignment horizontal="left"/>
    </xf>
    <xf numFmtId="0" fontId="3" fillId="2" borderId="0" xfId="2" applyNumberFormat="1" applyFont="1" applyFill="1" applyAlignment="1">
      <alignment horizontal="center" vertical="center" wrapText="1"/>
    </xf>
  </cellXfs>
  <cellStyles count="3">
    <cellStyle name="Обычный" xfId="0" builtinId="0"/>
    <cellStyle name="Параметр" xfId="2"/>
    <cellStyle name="Просто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Лист1!$A$181</c:f>
              <c:strCache>
                <c:ptCount val="1"/>
                <c:pt idx="0">
                  <c:v>Недисконтированная окупаемость проекта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Лист1!$D$181:$M$181</c:f>
              <c:numCache>
                <c:formatCode>#,##0</c:formatCode>
                <c:ptCount val="10"/>
                <c:pt idx="0">
                  <c:v>-107.99999999999943</c:v>
                </c:pt>
                <c:pt idx="1">
                  <c:v>-347.63954134868152</c:v>
                </c:pt>
                <c:pt idx="2">
                  <c:v>-267.51839755263342</c:v>
                </c:pt>
                <c:pt idx="3">
                  <c:v>-167.44919931172461</c:v>
                </c:pt>
                <c:pt idx="4">
                  <c:v>-59.127119674429338</c:v>
                </c:pt>
                <c:pt idx="5">
                  <c:v>52.903423584968209</c:v>
                </c:pt>
                <c:pt idx="6">
                  <c:v>168.75339563027288</c:v>
                </c:pt>
                <c:pt idx="7">
                  <c:v>288.53695031866533</c:v>
                </c:pt>
                <c:pt idx="8">
                  <c:v>412.37150358537212</c:v>
                </c:pt>
                <c:pt idx="9">
                  <c:v>559.12320944696648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6EF-4C36-B758-114CB3E4F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134484271"/>
        <c:axId val="880168559"/>
      </c:lineChart>
      <c:catAx>
        <c:axId val="113448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168559"/>
        <c:crosses val="autoZero"/>
        <c:auto val="1"/>
        <c:lblAlgn val="ctr"/>
        <c:lblOffset val="100"/>
        <c:noMultiLvlLbl val="0"/>
      </c:catAx>
      <c:valAx>
        <c:axId val="88016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448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Дисконтированная окупаемость проекта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Лист1!$A$182</c:f>
              <c:strCache>
                <c:ptCount val="1"/>
                <c:pt idx="0">
                  <c:v>Дисконтированная окупаемость проекта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Лист1!$D$182:$M$182</c:f>
              <c:numCache>
                <c:formatCode>#,##0</c:formatCode>
                <c:ptCount val="10"/>
                <c:pt idx="0">
                  <c:v>-107.99999999999943</c:v>
                </c:pt>
                <c:pt idx="1">
                  <c:v>-316.38220986841867</c:v>
                </c:pt>
                <c:pt idx="2">
                  <c:v>-255.79911437046169</c:v>
                </c:pt>
                <c:pt idx="3">
                  <c:v>-190.00199216060957</c:v>
                </c:pt>
                <c:pt idx="4">
                  <c:v>-128.06849155859896</c:v>
                </c:pt>
                <c:pt idx="5">
                  <c:v>-72.369511807197853</c:v>
                </c:pt>
                <c:pt idx="6">
                  <c:v>-22.284371906430266</c:v>
                </c:pt>
                <c:pt idx="7">
                  <c:v>22.746703074589874</c:v>
                </c:pt>
                <c:pt idx="8">
                  <c:v>63.228438200924039</c:v>
                </c:pt>
                <c:pt idx="9">
                  <c:v>104.94443208014684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CA2-4C5B-8413-BF088C0B0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134484271"/>
        <c:axId val="880168559"/>
      </c:lineChart>
      <c:catAx>
        <c:axId val="113448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168559"/>
        <c:crosses val="autoZero"/>
        <c:auto val="1"/>
        <c:lblAlgn val="ctr"/>
        <c:lblOffset val="100"/>
        <c:noMultiLvlLbl val="0"/>
      </c:catAx>
      <c:valAx>
        <c:axId val="88016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448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Инвестиции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Лист1!$D$135:$M$135</c:f>
              <c:numCache>
                <c:formatCode>#,##0</c:formatCode>
                <c:ptCount val="10"/>
                <c:pt idx="0">
                  <c:v>-540</c:v>
                </c:pt>
                <c:pt idx="1">
                  <c:v>-1260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D-43A8-B75B-4DF127FF2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484271"/>
        <c:axId val="880168559"/>
      </c:barChart>
      <c:catAx>
        <c:axId val="113448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168559"/>
        <c:crosses val="autoZero"/>
        <c:auto val="1"/>
        <c:lblAlgn val="ctr"/>
        <c:lblOffset val="100"/>
        <c:noMultiLvlLbl val="0"/>
      </c:catAx>
      <c:valAx>
        <c:axId val="88016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448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Выручка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Лист1!$D$111:$M$111</c:f>
              <c:numCache>
                <c:formatCode>#,##0</c:formatCode>
                <c:ptCount val="10"/>
                <c:pt idx="0">
                  <c:v>0</c:v>
                </c:pt>
                <c:pt idx="1">
                  <c:v>1135.68</c:v>
                </c:pt>
                <c:pt idx="2">
                  <c:v>1349.8368</c:v>
                </c:pt>
                <c:pt idx="3">
                  <c:v>1754.7878400000004</c:v>
                </c:pt>
                <c:pt idx="4">
                  <c:v>1824.9793536000004</c:v>
                </c:pt>
                <c:pt idx="5">
                  <c:v>1897.9785277440005</c:v>
                </c:pt>
                <c:pt idx="6">
                  <c:v>1973.8976688537607</c:v>
                </c:pt>
                <c:pt idx="7">
                  <c:v>2052.8535756079114</c:v>
                </c:pt>
                <c:pt idx="8">
                  <c:v>2134.9677186322278</c:v>
                </c:pt>
                <c:pt idx="9">
                  <c:v>2220.3664273775171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FB-4F59-9F5F-0133F0009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484271"/>
        <c:axId val="880168559"/>
      </c:barChart>
      <c:catAx>
        <c:axId val="113448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168559"/>
        <c:crosses val="autoZero"/>
        <c:auto val="1"/>
        <c:lblAlgn val="ctr"/>
        <c:lblOffset val="100"/>
        <c:noMultiLvlLbl val="0"/>
      </c:catAx>
      <c:valAx>
        <c:axId val="88016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448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</xdr:colOff>
      <xdr:row>183</xdr:row>
      <xdr:rowOff>25978</xdr:rowOff>
    </xdr:from>
    <xdr:to>
      <xdr:col>4</xdr:col>
      <xdr:colOff>308263</xdr:colOff>
      <xdr:row>199</xdr:row>
      <xdr:rowOff>124691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3BBE12F-A512-49AF-9746-9DBEB03D9E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401772</xdr:colOff>
      <xdr:row>183</xdr:row>
      <xdr:rowOff>25978</xdr:rowOff>
    </xdr:from>
    <xdr:to>
      <xdr:col>12</xdr:col>
      <xdr:colOff>490095</xdr:colOff>
      <xdr:row>199</xdr:row>
      <xdr:rowOff>124691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88AC5983-3855-47BB-901D-BDD8494C60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202</xdr:row>
      <xdr:rowOff>2</xdr:rowOff>
    </xdr:from>
    <xdr:to>
      <xdr:col>4</xdr:col>
      <xdr:colOff>346363</xdr:colOff>
      <xdr:row>212</xdr:row>
      <xdr:rowOff>131618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E3BBE12F-A512-49AF-9746-9DBEB03D9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34636</xdr:colOff>
      <xdr:row>202</xdr:row>
      <xdr:rowOff>0</xdr:rowOff>
    </xdr:from>
    <xdr:to>
      <xdr:col>13</xdr:col>
      <xdr:colOff>200889</xdr:colOff>
      <xdr:row>212</xdr:row>
      <xdr:rowOff>131616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E3BBE12F-A512-49AF-9746-9DBEB03D9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2"/>
  <sheetViews>
    <sheetView tabSelected="1" zoomScale="110" zoomScaleNormal="110" workbookViewId="0">
      <pane ySplit="2" topLeftCell="A212" activePane="bottomLeft" state="frozen"/>
      <selection pane="bottomLeft" sqref="A1:N215"/>
    </sheetView>
  </sheetViews>
  <sheetFormatPr defaultRowHeight="12" x14ac:dyDescent="0.25"/>
  <cols>
    <col min="1" max="1" width="32.88671875" style="4" customWidth="1"/>
    <col min="2" max="2" width="8.5546875" style="4" customWidth="1"/>
    <col min="3" max="3" width="8.88671875" style="4"/>
    <col min="4" max="13" width="7.5546875" style="7" customWidth="1"/>
    <col min="14" max="16384" width="8.88671875" style="4"/>
  </cols>
  <sheetData>
    <row r="1" spans="1:16" x14ac:dyDescent="0.25">
      <c r="A1" s="37" t="s">
        <v>115</v>
      </c>
      <c r="B1" s="2"/>
      <c r="C1" s="2"/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O1" s="34" t="s">
        <v>113</v>
      </c>
      <c r="P1" s="35">
        <f ca="1">B178</f>
        <v>104.94443205323253</v>
      </c>
    </row>
    <row r="2" spans="1:16" x14ac:dyDescent="0.25">
      <c r="A2" s="37"/>
      <c r="B2" s="2"/>
      <c r="C2" s="2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O2" s="34" t="s">
        <v>114</v>
      </c>
      <c r="P2" s="36">
        <f ca="1">B179</f>
        <v>0.22903448434735019</v>
      </c>
    </row>
    <row r="4" spans="1:16" x14ac:dyDescent="0.25">
      <c r="A4" s="4" t="s">
        <v>26</v>
      </c>
      <c r="B4" s="5">
        <v>2</v>
      </c>
      <c r="C4" s="6" t="str">
        <f>CHOOSE(B4, "тыс. руб.", "млн руб.")</f>
        <v>млн руб.</v>
      </c>
    </row>
    <row r="6" spans="1:16" x14ac:dyDescent="0.25">
      <c r="A6" s="4" t="s">
        <v>22</v>
      </c>
      <c r="B6" s="8">
        <v>1500</v>
      </c>
      <c r="C6" s="9" t="str">
        <f>CUR_NAME</f>
        <v>млн руб.</v>
      </c>
    </row>
    <row r="7" spans="1:16" x14ac:dyDescent="0.25">
      <c r="A7" s="4" t="s">
        <v>10</v>
      </c>
      <c r="C7" s="9" t="s">
        <v>11</v>
      </c>
      <c r="D7" s="10">
        <v>0</v>
      </c>
      <c r="E7" s="10">
        <v>0.7</v>
      </c>
      <c r="F7" s="10">
        <v>0.8</v>
      </c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f t="shared" ref="G7:M8" si="0">L7</f>
        <v>1</v>
      </c>
    </row>
    <row r="8" spans="1:16" x14ac:dyDescent="0.25">
      <c r="A8" s="4" t="s">
        <v>12</v>
      </c>
      <c r="C8" s="9" t="s">
        <v>11</v>
      </c>
      <c r="D8" s="11">
        <v>0.04</v>
      </c>
      <c r="E8" s="11">
        <f>D8</f>
        <v>0.04</v>
      </c>
      <c r="F8" s="11">
        <f t="shared" ref="F8" si="1">E8</f>
        <v>0.04</v>
      </c>
      <c r="G8" s="11">
        <f t="shared" si="0"/>
        <v>0.04</v>
      </c>
      <c r="H8" s="11">
        <f t="shared" si="0"/>
        <v>0.04</v>
      </c>
      <c r="I8" s="11">
        <f t="shared" si="0"/>
        <v>0.04</v>
      </c>
      <c r="J8" s="11">
        <f t="shared" si="0"/>
        <v>0.04</v>
      </c>
      <c r="K8" s="11">
        <f t="shared" si="0"/>
        <v>0.04</v>
      </c>
      <c r="L8" s="11">
        <f t="shared" si="0"/>
        <v>0.04</v>
      </c>
      <c r="M8" s="11">
        <f t="shared" si="0"/>
        <v>0.04</v>
      </c>
    </row>
    <row r="9" spans="1:16" x14ac:dyDescent="0.25">
      <c r="A9" s="4" t="s">
        <v>14</v>
      </c>
      <c r="C9" s="9"/>
      <c r="D9" s="12">
        <f>1+D8</f>
        <v>1.04</v>
      </c>
      <c r="E9" s="12">
        <f>D9*(1+E8)</f>
        <v>1.0816000000000001</v>
      </c>
      <c r="F9" s="12">
        <f t="shared" ref="F9:M9" si="2">E9*(1+F8)</f>
        <v>1.1248640000000001</v>
      </c>
      <c r="G9" s="12">
        <f t="shared" si="2"/>
        <v>1.1698585600000002</v>
      </c>
      <c r="H9" s="12">
        <f t="shared" si="2"/>
        <v>1.2166529024000003</v>
      </c>
      <c r="I9" s="12">
        <f t="shared" si="2"/>
        <v>1.2653190184960004</v>
      </c>
      <c r="J9" s="12">
        <f t="shared" si="2"/>
        <v>1.3159317792358405</v>
      </c>
      <c r="K9" s="12">
        <f t="shared" si="2"/>
        <v>1.3685690504052741</v>
      </c>
      <c r="L9" s="12">
        <f t="shared" si="2"/>
        <v>1.4233118124214852</v>
      </c>
      <c r="M9" s="12">
        <f t="shared" si="2"/>
        <v>1.4802442849183446</v>
      </c>
    </row>
    <row r="10" spans="1:16" x14ac:dyDescent="0.25">
      <c r="A10" s="4" t="s">
        <v>13</v>
      </c>
      <c r="D10" s="13">
        <f>$B$6*D7*D9</f>
        <v>0</v>
      </c>
      <c r="E10" s="13">
        <f t="shared" ref="E10:M10" si="3">$B$6*E7*E9</f>
        <v>1135.68</v>
      </c>
      <c r="F10" s="13">
        <f t="shared" si="3"/>
        <v>1349.8368</v>
      </c>
      <c r="G10" s="13">
        <f t="shared" si="3"/>
        <v>1754.7878400000004</v>
      </c>
      <c r="H10" s="13">
        <f t="shared" si="3"/>
        <v>1824.9793536000004</v>
      </c>
      <c r="I10" s="13">
        <f t="shared" si="3"/>
        <v>1897.9785277440005</v>
      </c>
      <c r="J10" s="13">
        <f t="shared" si="3"/>
        <v>1973.8976688537607</v>
      </c>
      <c r="K10" s="13">
        <f t="shared" si="3"/>
        <v>2052.8535756079114</v>
      </c>
      <c r="L10" s="13">
        <f t="shared" si="3"/>
        <v>2134.9677186322278</v>
      </c>
      <c r="M10" s="13">
        <f t="shared" si="3"/>
        <v>2220.3664273775171</v>
      </c>
    </row>
    <row r="12" spans="1:16" s="16" customFormat="1" ht="20.100000000000001" customHeight="1" thickBot="1" x14ac:dyDescent="0.35">
      <c r="A12" s="14" t="s">
        <v>15</v>
      </c>
      <c r="B12" s="14"/>
      <c r="C12" s="14"/>
      <c r="D12" s="15" t="str">
        <f>D$2</f>
        <v>Год 1</v>
      </c>
      <c r="E12" s="15" t="str">
        <f t="shared" ref="E12:M12" si="4">E$2</f>
        <v>Год 2</v>
      </c>
      <c r="F12" s="15" t="str">
        <f t="shared" si="4"/>
        <v>Год 3</v>
      </c>
      <c r="G12" s="15" t="str">
        <f t="shared" si="4"/>
        <v>Год 4</v>
      </c>
      <c r="H12" s="15" t="str">
        <f t="shared" si="4"/>
        <v>Год 5</v>
      </c>
      <c r="I12" s="15" t="str">
        <f t="shared" si="4"/>
        <v>Год 6</v>
      </c>
      <c r="J12" s="15" t="str">
        <f t="shared" si="4"/>
        <v>Год 7</v>
      </c>
      <c r="K12" s="15" t="str">
        <f t="shared" si="4"/>
        <v>Год 8</v>
      </c>
      <c r="L12" s="15" t="str">
        <f t="shared" si="4"/>
        <v>Год 9</v>
      </c>
      <c r="M12" s="15" t="str">
        <f t="shared" si="4"/>
        <v>Год 10</v>
      </c>
    </row>
    <row r="13" spans="1:16" s="17" customFormat="1" x14ac:dyDescent="0.25"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6" x14ac:dyDescent="0.25">
      <c r="A14" s="4" t="s">
        <v>16</v>
      </c>
      <c r="B14" s="19">
        <v>0.7</v>
      </c>
      <c r="C14" s="9" t="s">
        <v>11</v>
      </c>
      <c r="D14" s="11">
        <f>$B14</f>
        <v>0.7</v>
      </c>
      <c r="E14" s="11">
        <f t="shared" ref="E14:M14" si="5">$B14</f>
        <v>0.7</v>
      </c>
      <c r="F14" s="11">
        <f t="shared" si="5"/>
        <v>0.7</v>
      </c>
      <c r="G14" s="11">
        <f t="shared" si="5"/>
        <v>0.7</v>
      </c>
      <c r="H14" s="11">
        <f t="shared" si="5"/>
        <v>0.7</v>
      </c>
      <c r="I14" s="11">
        <f t="shared" si="5"/>
        <v>0.7</v>
      </c>
      <c r="J14" s="11">
        <f t="shared" si="5"/>
        <v>0.7</v>
      </c>
      <c r="K14" s="11">
        <f t="shared" si="5"/>
        <v>0.7</v>
      </c>
      <c r="L14" s="11">
        <f t="shared" si="5"/>
        <v>0.7</v>
      </c>
      <c r="M14" s="11">
        <f t="shared" si="5"/>
        <v>0.7</v>
      </c>
    </row>
    <row r="15" spans="1:16" x14ac:dyDescent="0.25">
      <c r="A15" s="4" t="s">
        <v>17</v>
      </c>
      <c r="B15" s="19">
        <v>0.04</v>
      </c>
      <c r="C15" s="9" t="s">
        <v>11</v>
      </c>
      <c r="D15" s="11">
        <f t="shared" ref="D15:M22" si="6">$B15</f>
        <v>0.04</v>
      </c>
      <c r="E15" s="11">
        <f t="shared" si="6"/>
        <v>0.04</v>
      </c>
      <c r="F15" s="11">
        <f t="shared" si="6"/>
        <v>0.04</v>
      </c>
      <c r="G15" s="11">
        <f t="shared" si="6"/>
        <v>0.04</v>
      </c>
      <c r="H15" s="11">
        <f t="shared" si="6"/>
        <v>0.04</v>
      </c>
      <c r="I15" s="11">
        <f t="shared" si="6"/>
        <v>0.04</v>
      </c>
      <c r="J15" s="11">
        <f t="shared" si="6"/>
        <v>0.04</v>
      </c>
      <c r="K15" s="11">
        <f t="shared" si="6"/>
        <v>0.04</v>
      </c>
      <c r="L15" s="11">
        <f t="shared" si="6"/>
        <v>0.04</v>
      </c>
      <c r="M15" s="11">
        <f t="shared" si="6"/>
        <v>0.04</v>
      </c>
    </row>
    <row r="16" spans="1:16" x14ac:dyDescent="0.25">
      <c r="A16" s="4" t="s">
        <v>18</v>
      </c>
      <c r="B16" s="19">
        <v>0.02</v>
      </c>
      <c r="C16" s="9" t="s">
        <v>11</v>
      </c>
      <c r="D16" s="11">
        <f t="shared" si="6"/>
        <v>0.02</v>
      </c>
      <c r="E16" s="11">
        <f t="shared" si="6"/>
        <v>0.02</v>
      </c>
      <c r="F16" s="11">
        <f t="shared" si="6"/>
        <v>0.02</v>
      </c>
      <c r="G16" s="11">
        <f t="shared" si="6"/>
        <v>0.02</v>
      </c>
      <c r="H16" s="11">
        <f t="shared" si="6"/>
        <v>0.02</v>
      </c>
      <c r="I16" s="11">
        <f t="shared" si="6"/>
        <v>0.02</v>
      </c>
      <c r="J16" s="11">
        <f t="shared" si="6"/>
        <v>0.02</v>
      </c>
      <c r="K16" s="11">
        <f t="shared" si="6"/>
        <v>0.02</v>
      </c>
      <c r="L16" s="11">
        <f t="shared" si="6"/>
        <v>0.02</v>
      </c>
      <c r="M16" s="11">
        <f t="shared" si="6"/>
        <v>0.02</v>
      </c>
    </row>
    <row r="17" spans="1:13" x14ac:dyDescent="0.25">
      <c r="A17" s="4" t="s">
        <v>19</v>
      </c>
      <c r="B17" s="19">
        <v>0.03</v>
      </c>
      <c r="C17" s="9" t="s">
        <v>11</v>
      </c>
      <c r="D17" s="11">
        <f t="shared" si="6"/>
        <v>0.03</v>
      </c>
      <c r="E17" s="11">
        <f t="shared" si="6"/>
        <v>0.03</v>
      </c>
      <c r="F17" s="11">
        <f t="shared" si="6"/>
        <v>0.03</v>
      </c>
      <c r="G17" s="11">
        <f t="shared" si="6"/>
        <v>0.03</v>
      </c>
      <c r="H17" s="11">
        <f t="shared" si="6"/>
        <v>0.03</v>
      </c>
      <c r="I17" s="11">
        <f t="shared" si="6"/>
        <v>0.03</v>
      </c>
      <c r="J17" s="11">
        <f t="shared" si="6"/>
        <v>0.03</v>
      </c>
      <c r="K17" s="11">
        <f t="shared" si="6"/>
        <v>0.03</v>
      </c>
      <c r="L17" s="11">
        <f t="shared" si="6"/>
        <v>0.03</v>
      </c>
      <c r="M17" s="11">
        <f t="shared" si="6"/>
        <v>0.03</v>
      </c>
    </row>
    <row r="18" spans="1:13" x14ac:dyDescent="0.25">
      <c r="B18" s="19"/>
      <c r="C18" s="9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4" t="s">
        <v>27</v>
      </c>
      <c r="B19" s="19"/>
      <c r="C19" s="9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5">
      <c r="A20" s="4" t="s">
        <v>29</v>
      </c>
      <c r="B20" s="19">
        <v>7.0000000000000007E-2</v>
      </c>
      <c r="C20" s="9" t="s">
        <v>11</v>
      </c>
      <c r="D20" s="11">
        <f t="shared" si="6"/>
        <v>7.0000000000000007E-2</v>
      </c>
      <c r="E20" s="11">
        <f t="shared" si="6"/>
        <v>7.0000000000000007E-2</v>
      </c>
      <c r="F20" s="11">
        <f t="shared" si="6"/>
        <v>7.0000000000000007E-2</v>
      </c>
      <c r="G20" s="11">
        <f t="shared" si="6"/>
        <v>7.0000000000000007E-2</v>
      </c>
      <c r="H20" s="11">
        <f t="shared" si="6"/>
        <v>7.0000000000000007E-2</v>
      </c>
      <c r="I20" s="11">
        <f t="shared" si="6"/>
        <v>7.0000000000000007E-2</v>
      </c>
      <c r="J20" s="11">
        <f t="shared" si="6"/>
        <v>7.0000000000000007E-2</v>
      </c>
      <c r="K20" s="11">
        <f t="shared" si="6"/>
        <v>7.0000000000000007E-2</v>
      </c>
      <c r="L20" s="11">
        <f t="shared" si="6"/>
        <v>7.0000000000000007E-2</v>
      </c>
      <c r="M20" s="11">
        <f t="shared" si="6"/>
        <v>7.0000000000000007E-2</v>
      </c>
    </row>
    <row r="21" spans="1:13" x14ac:dyDescent="0.25">
      <c r="A21" s="4" t="s">
        <v>30</v>
      </c>
      <c r="B21" s="19">
        <v>0.03</v>
      </c>
      <c r="C21" s="9" t="s">
        <v>11</v>
      </c>
      <c r="D21" s="11">
        <f t="shared" si="6"/>
        <v>0.03</v>
      </c>
      <c r="E21" s="11">
        <f t="shared" si="6"/>
        <v>0.03</v>
      </c>
      <c r="F21" s="11">
        <f t="shared" si="6"/>
        <v>0.03</v>
      </c>
      <c r="G21" s="11">
        <f t="shared" si="6"/>
        <v>0.03</v>
      </c>
      <c r="H21" s="11">
        <f t="shared" si="6"/>
        <v>0.03</v>
      </c>
      <c r="I21" s="11">
        <f t="shared" si="6"/>
        <v>0.03</v>
      </c>
      <c r="J21" s="11">
        <f t="shared" si="6"/>
        <v>0.03</v>
      </c>
      <c r="K21" s="11">
        <f t="shared" si="6"/>
        <v>0.03</v>
      </c>
      <c r="L21" s="11">
        <f t="shared" si="6"/>
        <v>0.03</v>
      </c>
      <c r="M21" s="11">
        <f t="shared" si="6"/>
        <v>0.03</v>
      </c>
    </row>
    <row r="22" spans="1:13" x14ac:dyDescent="0.25">
      <c r="A22" s="4" t="s">
        <v>28</v>
      </c>
      <c r="B22" s="19">
        <v>0.18</v>
      </c>
      <c r="C22" s="9" t="s">
        <v>11</v>
      </c>
      <c r="D22" s="11">
        <f t="shared" si="6"/>
        <v>0.18</v>
      </c>
      <c r="E22" s="11">
        <f t="shared" si="6"/>
        <v>0.18</v>
      </c>
      <c r="F22" s="11">
        <f t="shared" si="6"/>
        <v>0.18</v>
      </c>
      <c r="G22" s="11">
        <f t="shared" si="6"/>
        <v>0.18</v>
      </c>
      <c r="H22" s="11">
        <f t="shared" si="6"/>
        <v>0.18</v>
      </c>
      <c r="I22" s="11">
        <f t="shared" si="6"/>
        <v>0.18</v>
      </c>
      <c r="J22" s="11">
        <f t="shared" si="6"/>
        <v>0.18</v>
      </c>
      <c r="K22" s="11">
        <f t="shared" si="6"/>
        <v>0.18</v>
      </c>
      <c r="L22" s="11">
        <f t="shared" si="6"/>
        <v>0.18</v>
      </c>
      <c r="M22" s="11">
        <f t="shared" si="6"/>
        <v>0.18</v>
      </c>
    </row>
    <row r="24" spans="1:13" s="16" customFormat="1" ht="20.100000000000001" customHeight="1" thickBot="1" x14ac:dyDescent="0.35">
      <c r="A24" s="14" t="s">
        <v>23</v>
      </c>
      <c r="B24" s="14"/>
      <c r="C24" s="14"/>
      <c r="D24" s="15" t="str">
        <f>D$2</f>
        <v>Год 1</v>
      </c>
      <c r="E24" s="15" t="str">
        <f t="shared" ref="E24:M24" si="7">E$2</f>
        <v>Год 2</v>
      </c>
      <c r="F24" s="15" t="str">
        <f t="shared" si="7"/>
        <v>Год 3</v>
      </c>
      <c r="G24" s="15" t="str">
        <f t="shared" si="7"/>
        <v>Год 4</v>
      </c>
      <c r="H24" s="15" t="str">
        <f t="shared" si="7"/>
        <v>Год 5</v>
      </c>
      <c r="I24" s="15" t="str">
        <f t="shared" si="7"/>
        <v>Год 6</v>
      </c>
      <c r="J24" s="15" t="str">
        <f t="shared" si="7"/>
        <v>Год 7</v>
      </c>
      <c r="K24" s="15" t="str">
        <f t="shared" si="7"/>
        <v>Год 8</v>
      </c>
      <c r="L24" s="15" t="str">
        <f t="shared" si="7"/>
        <v>Год 9</v>
      </c>
      <c r="M24" s="15" t="str">
        <f t="shared" si="7"/>
        <v>Год 10</v>
      </c>
    </row>
    <row r="25" spans="1:13" x14ac:dyDescent="0.25">
      <c r="A25" s="17"/>
      <c r="B25" s="17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x14ac:dyDescent="0.25">
      <c r="A26" s="4" t="s">
        <v>16</v>
      </c>
      <c r="C26" s="9" t="str">
        <f>CUR_NAME</f>
        <v>млн руб.</v>
      </c>
      <c r="D26" s="20">
        <f>D$10*D14</f>
        <v>0</v>
      </c>
      <c r="E26" s="20">
        <f t="shared" ref="E26:M26" si="8">E$10*E14</f>
        <v>794.976</v>
      </c>
      <c r="F26" s="20">
        <f t="shared" si="8"/>
        <v>944.88576</v>
      </c>
      <c r="G26" s="20">
        <f t="shared" si="8"/>
        <v>1228.3514880000002</v>
      </c>
      <c r="H26" s="20">
        <f t="shared" si="8"/>
        <v>1277.4855475200002</v>
      </c>
      <c r="I26" s="20">
        <f t="shared" si="8"/>
        <v>1328.5849694208002</v>
      </c>
      <c r="J26" s="20">
        <f t="shared" si="8"/>
        <v>1381.7283681976323</v>
      </c>
      <c r="K26" s="20">
        <f t="shared" si="8"/>
        <v>1436.9975029255379</v>
      </c>
      <c r="L26" s="20">
        <f t="shared" si="8"/>
        <v>1494.4774030425594</v>
      </c>
      <c r="M26" s="20">
        <f t="shared" si="8"/>
        <v>1554.2564991642619</v>
      </c>
    </row>
    <row r="27" spans="1:13" x14ac:dyDescent="0.25">
      <c r="A27" s="4" t="s">
        <v>17</v>
      </c>
      <c r="C27" s="9" t="str">
        <f>CUR_NAME</f>
        <v>млн руб.</v>
      </c>
      <c r="D27" s="20">
        <f>D$10*D15</f>
        <v>0</v>
      </c>
      <c r="E27" s="20">
        <f t="shared" ref="E27:M27" si="9">E$10*E15</f>
        <v>45.427200000000006</v>
      </c>
      <c r="F27" s="20">
        <f t="shared" si="9"/>
        <v>53.993472000000004</v>
      </c>
      <c r="G27" s="20">
        <f t="shared" si="9"/>
        <v>70.191513600000022</v>
      </c>
      <c r="H27" s="20">
        <f t="shared" si="9"/>
        <v>72.999174144000023</v>
      </c>
      <c r="I27" s="20">
        <f t="shared" si="9"/>
        <v>75.91914110976002</v>
      </c>
      <c r="J27" s="20">
        <f t="shared" si="9"/>
        <v>78.955906754150433</v>
      </c>
      <c r="K27" s="20">
        <f t="shared" si="9"/>
        <v>82.114143024316462</v>
      </c>
      <c r="L27" s="20">
        <f t="shared" si="9"/>
        <v>85.398708745289113</v>
      </c>
      <c r="M27" s="20">
        <f t="shared" si="9"/>
        <v>88.814657095100685</v>
      </c>
    </row>
    <row r="28" spans="1:13" x14ac:dyDescent="0.25">
      <c r="A28" s="4" t="s">
        <v>18</v>
      </c>
      <c r="C28" s="9" t="str">
        <f>CUR_NAME</f>
        <v>млн руб.</v>
      </c>
      <c r="D28" s="20">
        <f>D$10*D16</f>
        <v>0</v>
      </c>
      <c r="E28" s="20">
        <f t="shared" ref="E28:M28" si="10">E$10*E16</f>
        <v>22.713600000000003</v>
      </c>
      <c r="F28" s="20">
        <f t="shared" si="10"/>
        <v>26.996736000000002</v>
      </c>
      <c r="G28" s="20">
        <f t="shared" si="10"/>
        <v>35.095756800000011</v>
      </c>
      <c r="H28" s="20">
        <f t="shared" si="10"/>
        <v>36.499587072000011</v>
      </c>
      <c r="I28" s="20">
        <f t="shared" si="10"/>
        <v>37.95957055488001</v>
      </c>
      <c r="J28" s="20">
        <f t="shared" si="10"/>
        <v>39.477953377075217</v>
      </c>
      <c r="K28" s="20">
        <f t="shared" si="10"/>
        <v>41.057071512158231</v>
      </c>
      <c r="L28" s="20">
        <f t="shared" si="10"/>
        <v>42.699354372644557</v>
      </c>
      <c r="M28" s="20">
        <f t="shared" si="10"/>
        <v>44.407328547550343</v>
      </c>
    </row>
    <row r="29" spans="1:13" x14ac:dyDescent="0.25">
      <c r="A29" s="4" t="s">
        <v>19</v>
      </c>
      <c r="C29" s="9" t="str">
        <f>CUR_NAME</f>
        <v>млн руб.</v>
      </c>
      <c r="D29" s="20">
        <f>D$10*D17</f>
        <v>0</v>
      </c>
      <c r="E29" s="20">
        <f t="shared" ref="E29:M29" si="11">E$10*E17</f>
        <v>34.070399999999999</v>
      </c>
      <c r="F29" s="20">
        <f t="shared" si="11"/>
        <v>40.495103999999998</v>
      </c>
      <c r="G29" s="20">
        <f t="shared" si="11"/>
        <v>52.643635200000013</v>
      </c>
      <c r="H29" s="20">
        <f t="shared" si="11"/>
        <v>54.74938060800001</v>
      </c>
      <c r="I29" s="20">
        <f t="shared" si="11"/>
        <v>56.939355832320011</v>
      </c>
      <c r="J29" s="20">
        <f t="shared" si="11"/>
        <v>59.216930065612821</v>
      </c>
      <c r="K29" s="20">
        <f t="shared" si="11"/>
        <v>61.585607268237339</v>
      </c>
      <c r="L29" s="20">
        <f t="shared" si="11"/>
        <v>64.049031558966831</v>
      </c>
      <c r="M29" s="20">
        <f t="shared" si="11"/>
        <v>66.61099282132551</v>
      </c>
    </row>
    <row r="30" spans="1:13" x14ac:dyDescent="0.25">
      <c r="C30" s="9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x14ac:dyDescent="0.25">
      <c r="A31" s="4" t="s">
        <v>27</v>
      </c>
      <c r="C31" s="9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x14ac:dyDescent="0.25">
      <c r="A32" s="4" t="s">
        <v>29</v>
      </c>
      <c r="C32" s="9" t="str">
        <f>CUR_NAME</f>
        <v>млн руб.</v>
      </c>
      <c r="D32" s="20">
        <f t="shared" ref="D32:M32" si="12">D$10*D20</f>
        <v>0</v>
      </c>
      <c r="E32" s="20">
        <f t="shared" si="12"/>
        <v>79.497600000000006</v>
      </c>
      <c r="F32" s="20">
        <f t="shared" si="12"/>
        <v>94.488576000000009</v>
      </c>
      <c r="G32" s="20">
        <f t="shared" si="12"/>
        <v>122.83514880000004</v>
      </c>
      <c r="H32" s="20">
        <f t="shared" si="12"/>
        <v>127.74855475200005</v>
      </c>
      <c r="I32" s="20">
        <f t="shared" si="12"/>
        <v>132.85849694208005</v>
      </c>
      <c r="J32" s="20">
        <f t="shared" si="12"/>
        <v>138.17283681976326</v>
      </c>
      <c r="K32" s="20">
        <f t="shared" si="12"/>
        <v>143.6997502925538</v>
      </c>
      <c r="L32" s="20">
        <f t="shared" si="12"/>
        <v>149.44774030425597</v>
      </c>
      <c r="M32" s="20">
        <f t="shared" si="12"/>
        <v>155.42564991642621</v>
      </c>
    </row>
    <row r="33" spans="1:13" x14ac:dyDescent="0.25">
      <c r="A33" s="4" t="s">
        <v>30</v>
      </c>
      <c r="C33" s="9" t="str">
        <f>CUR_NAME</f>
        <v>млн руб.</v>
      </c>
      <c r="D33" s="20">
        <f t="shared" ref="D33:M33" si="13">D$10*D21</f>
        <v>0</v>
      </c>
      <c r="E33" s="20">
        <f t="shared" si="13"/>
        <v>34.070399999999999</v>
      </c>
      <c r="F33" s="20">
        <f t="shared" si="13"/>
        <v>40.495103999999998</v>
      </c>
      <c r="G33" s="20">
        <f t="shared" si="13"/>
        <v>52.643635200000013</v>
      </c>
      <c r="H33" s="20">
        <f t="shared" si="13"/>
        <v>54.74938060800001</v>
      </c>
      <c r="I33" s="20">
        <f t="shared" si="13"/>
        <v>56.939355832320011</v>
      </c>
      <c r="J33" s="20">
        <f t="shared" si="13"/>
        <v>59.216930065612821</v>
      </c>
      <c r="K33" s="20">
        <f t="shared" si="13"/>
        <v>61.585607268237339</v>
      </c>
      <c r="L33" s="20">
        <f t="shared" si="13"/>
        <v>64.049031558966831</v>
      </c>
      <c r="M33" s="20">
        <f t="shared" si="13"/>
        <v>66.61099282132551</v>
      </c>
    </row>
    <row r="34" spans="1:13" x14ac:dyDescent="0.25">
      <c r="A34" s="4" t="s">
        <v>28</v>
      </c>
      <c r="C34" s="9" t="str">
        <f>CUR_NAME</f>
        <v>млн руб.</v>
      </c>
      <c r="D34" s="20">
        <f t="shared" ref="D34:M34" si="14">D$10*D22</f>
        <v>0</v>
      </c>
      <c r="E34" s="20">
        <f t="shared" si="14"/>
        <v>204.42240000000001</v>
      </c>
      <c r="F34" s="20">
        <f t="shared" si="14"/>
        <v>242.97062399999999</v>
      </c>
      <c r="G34" s="20">
        <f t="shared" si="14"/>
        <v>315.86181120000009</v>
      </c>
      <c r="H34" s="20">
        <f t="shared" si="14"/>
        <v>328.49628364800009</v>
      </c>
      <c r="I34" s="20">
        <f t="shared" si="14"/>
        <v>341.63613499392011</v>
      </c>
      <c r="J34" s="20">
        <f t="shared" si="14"/>
        <v>355.30158039367689</v>
      </c>
      <c r="K34" s="20">
        <f t="shared" si="14"/>
        <v>369.51364360942404</v>
      </c>
      <c r="L34" s="20">
        <f t="shared" si="14"/>
        <v>384.29418935380102</v>
      </c>
      <c r="M34" s="20">
        <f t="shared" si="14"/>
        <v>399.66595692795306</v>
      </c>
    </row>
    <row r="35" spans="1:13" x14ac:dyDescent="0.25">
      <c r="A35" s="4" t="s">
        <v>20</v>
      </c>
      <c r="B35" s="21">
        <v>83</v>
      </c>
      <c r="C35" s="9" t="s">
        <v>24</v>
      </c>
      <c r="D35" s="22">
        <f>$B$35*D9</f>
        <v>86.320000000000007</v>
      </c>
      <c r="E35" s="22">
        <f t="shared" ref="E35:M35" si="15">$B$35*E9</f>
        <v>89.772800000000004</v>
      </c>
      <c r="F35" s="22">
        <f t="shared" si="15"/>
        <v>93.363712000000007</v>
      </c>
      <c r="G35" s="22">
        <f t="shared" si="15"/>
        <v>97.098260480000022</v>
      </c>
      <c r="H35" s="22">
        <f t="shared" si="15"/>
        <v>100.98219089920003</v>
      </c>
      <c r="I35" s="22">
        <f t="shared" si="15"/>
        <v>105.02147853516803</v>
      </c>
      <c r="J35" s="22">
        <f t="shared" si="15"/>
        <v>109.22233767657475</v>
      </c>
      <c r="K35" s="22">
        <f t="shared" si="15"/>
        <v>113.59123118363775</v>
      </c>
      <c r="L35" s="22">
        <f t="shared" si="15"/>
        <v>118.13488043098327</v>
      </c>
      <c r="M35" s="22">
        <f t="shared" si="15"/>
        <v>122.8602756482226</v>
      </c>
    </row>
    <row r="36" spans="1:13" x14ac:dyDescent="0.25">
      <c r="A36" s="4" t="s">
        <v>21</v>
      </c>
      <c r="C36" s="9" t="s">
        <v>25</v>
      </c>
      <c r="D36" s="20">
        <f>ROUND(D34*IF($B$4=2,1000,1)/D35/12,0)</f>
        <v>0</v>
      </c>
      <c r="E36" s="20">
        <f t="shared" ref="E36:M36" si="16">ROUND(E34*IF($B$4=2,1000,1)/E35/12,0)</f>
        <v>190</v>
      </c>
      <c r="F36" s="20">
        <f t="shared" si="16"/>
        <v>217</v>
      </c>
      <c r="G36" s="20">
        <f t="shared" si="16"/>
        <v>271</v>
      </c>
      <c r="H36" s="20">
        <f t="shared" si="16"/>
        <v>271</v>
      </c>
      <c r="I36" s="20">
        <f t="shared" si="16"/>
        <v>271</v>
      </c>
      <c r="J36" s="20">
        <f t="shared" si="16"/>
        <v>271</v>
      </c>
      <c r="K36" s="20">
        <f t="shared" si="16"/>
        <v>271</v>
      </c>
      <c r="L36" s="20">
        <f t="shared" si="16"/>
        <v>271</v>
      </c>
      <c r="M36" s="20">
        <f t="shared" si="16"/>
        <v>271</v>
      </c>
    </row>
    <row r="38" spans="1:13" s="16" customFormat="1" ht="20.100000000000001" customHeight="1" thickBot="1" x14ac:dyDescent="0.35">
      <c r="A38" s="14" t="s">
        <v>31</v>
      </c>
      <c r="B38" s="14"/>
      <c r="C38" s="14"/>
      <c r="D38" s="15" t="str">
        <f>D$2</f>
        <v>Год 1</v>
      </c>
      <c r="E38" s="15" t="str">
        <f t="shared" ref="E38:M38" si="17">E$2</f>
        <v>Год 2</v>
      </c>
      <c r="F38" s="15" t="str">
        <f t="shared" si="17"/>
        <v>Год 3</v>
      </c>
      <c r="G38" s="15" t="str">
        <f t="shared" si="17"/>
        <v>Год 4</v>
      </c>
      <c r="H38" s="15" t="str">
        <f t="shared" si="17"/>
        <v>Год 5</v>
      </c>
      <c r="I38" s="15" t="str">
        <f t="shared" si="17"/>
        <v>Год 6</v>
      </c>
      <c r="J38" s="15" t="str">
        <f t="shared" si="17"/>
        <v>Год 7</v>
      </c>
      <c r="K38" s="15" t="str">
        <f t="shared" si="17"/>
        <v>Год 8</v>
      </c>
      <c r="L38" s="15" t="str">
        <f t="shared" si="17"/>
        <v>Год 9</v>
      </c>
      <c r="M38" s="15" t="str">
        <f t="shared" si="17"/>
        <v>Год 10</v>
      </c>
    </row>
    <row r="39" spans="1:13" x14ac:dyDescent="0.25">
      <c r="B39" s="7" t="s">
        <v>35</v>
      </c>
    </row>
    <row r="40" spans="1:13" x14ac:dyDescent="0.25">
      <c r="A40" s="4" t="s">
        <v>32</v>
      </c>
      <c r="B40" s="5">
        <v>30</v>
      </c>
      <c r="C40" s="9" t="str">
        <f>CUR_NAME</f>
        <v>млн руб.</v>
      </c>
      <c r="D40" s="20">
        <f>$B40*D$10/365</f>
        <v>0</v>
      </c>
      <c r="E40" s="20">
        <f t="shared" ref="E40:M40" si="18">$B40*E$10/365</f>
        <v>93.343561643835613</v>
      </c>
      <c r="F40" s="20">
        <f t="shared" si="18"/>
        <v>110.9454904109589</v>
      </c>
      <c r="G40" s="20">
        <f t="shared" si="18"/>
        <v>144.2291375342466</v>
      </c>
      <c r="H40" s="20">
        <f t="shared" si="18"/>
        <v>149.99830303561649</v>
      </c>
      <c r="I40" s="20">
        <f t="shared" si="18"/>
        <v>155.99823515704114</v>
      </c>
      <c r="J40" s="20">
        <f t="shared" si="18"/>
        <v>162.23816456332278</v>
      </c>
      <c r="K40" s="20">
        <f t="shared" si="18"/>
        <v>168.72769114585574</v>
      </c>
      <c r="L40" s="20">
        <f t="shared" si="18"/>
        <v>175.47679879168996</v>
      </c>
      <c r="M40" s="20">
        <f t="shared" si="18"/>
        <v>182.49587074335759</v>
      </c>
    </row>
    <row r="41" spans="1:13" x14ac:dyDescent="0.25">
      <c r="A41" s="4" t="s">
        <v>33</v>
      </c>
      <c r="B41" s="5">
        <v>5</v>
      </c>
      <c r="C41" s="9" t="str">
        <f>CUR_NAME</f>
        <v>млн руб.</v>
      </c>
      <c r="D41" s="20">
        <f t="shared" ref="D41:M42" si="19">$B41*D$10/365</f>
        <v>0</v>
      </c>
      <c r="E41" s="20">
        <f t="shared" si="19"/>
        <v>15.557260273972604</v>
      </c>
      <c r="F41" s="20">
        <f t="shared" si="19"/>
        <v>18.490915068493152</v>
      </c>
      <c r="G41" s="20">
        <f t="shared" si="19"/>
        <v>24.038189589041103</v>
      </c>
      <c r="H41" s="20">
        <f t="shared" si="19"/>
        <v>24.999717172602747</v>
      </c>
      <c r="I41" s="20">
        <f t="shared" si="19"/>
        <v>25.999705859506857</v>
      </c>
      <c r="J41" s="20">
        <f t="shared" si="19"/>
        <v>27.039694093887135</v>
      </c>
      <c r="K41" s="20">
        <f t="shared" si="19"/>
        <v>28.121281857642622</v>
      </c>
      <c r="L41" s="20">
        <f t="shared" si="19"/>
        <v>29.246133131948326</v>
      </c>
      <c r="M41" s="20">
        <f t="shared" si="19"/>
        <v>30.415978457226263</v>
      </c>
    </row>
    <row r="42" spans="1:13" x14ac:dyDescent="0.25">
      <c r="A42" s="4" t="s">
        <v>34</v>
      </c>
      <c r="B42" s="5">
        <v>20</v>
      </c>
      <c r="C42" s="9" t="str">
        <f>CUR_NAME</f>
        <v>млн руб.</v>
      </c>
      <c r="D42" s="20">
        <f t="shared" si="19"/>
        <v>0</v>
      </c>
      <c r="E42" s="20">
        <f t="shared" si="19"/>
        <v>62.229041095890416</v>
      </c>
      <c r="F42" s="20">
        <f t="shared" si="19"/>
        <v>73.963660273972607</v>
      </c>
      <c r="G42" s="20">
        <f t="shared" si="19"/>
        <v>96.152758356164412</v>
      </c>
      <c r="H42" s="20">
        <f t="shared" si="19"/>
        <v>99.998868690410987</v>
      </c>
      <c r="I42" s="20">
        <f t="shared" si="19"/>
        <v>103.99882343802743</v>
      </c>
      <c r="J42" s="20">
        <f t="shared" si="19"/>
        <v>108.15877637554854</v>
      </c>
      <c r="K42" s="20">
        <f t="shared" si="19"/>
        <v>112.48512743057049</v>
      </c>
      <c r="L42" s="20">
        <f t="shared" si="19"/>
        <v>116.98453252779331</v>
      </c>
      <c r="M42" s="20">
        <f t="shared" si="19"/>
        <v>121.66391382890505</v>
      </c>
    </row>
    <row r="44" spans="1:13" x14ac:dyDescent="0.25">
      <c r="A44" s="4" t="s">
        <v>36</v>
      </c>
      <c r="C44" s="9" t="str">
        <f>CUR_NAME</f>
        <v>млн руб.</v>
      </c>
      <c r="D44" s="20">
        <f>D40+D41-D42</f>
        <v>0</v>
      </c>
      <c r="E44" s="20">
        <f>E40+E41-E42</f>
        <v>46.6717808219178</v>
      </c>
      <c r="F44" s="20">
        <f t="shared" ref="F44:M44" si="20">F40+F41-F42</f>
        <v>55.472745205479441</v>
      </c>
      <c r="G44" s="20">
        <f t="shared" si="20"/>
        <v>72.114568767123302</v>
      </c>
      <c r="H44" s="20">
        <f t="shared" si="20"/>
        <v>74.999151517808244</v>
      </c>
      <c r="I44" s="20">
        <f t="shared" si="20"/>
        <v>77.999117578520568</v>
      </c>
      <c r="J44" s="20">
        <f t="shared" si="20"/>
        <v>81.119082281661377</v>
      </c>
      <c r="K44" s="20">
        <f t="shared" si="20"/>
        <v>84.363845572927886</v>
      </c>
      <c r="L44" s="20">
        <f t="shared" si="20"/>
        <v>87.738399395844965</v>
      </c>
      <c r="M44" s="20">
        <f t="shared" si="20"/>
        <v>91.247935371678793</v>
      </c>
    </row>
    <row r="45" spans="1:13" x14ac:dyDescent="0.25">
      <c r="A45" s="4" t="s">
        <v>37</v>
      </c>
      <c r="C45" s="9" t="str">
        <f>CUR_NAME</f>
        <v>млн руб.</v>
      </c>
      <c r="D45" s="20">
        <f>D44</f>
        <v>0</v>
      </c>
      <c r="E45" s="20">
        <f>E44-D44</f>
        <v>46.6717808219178</v>
      </c>
      <c r="F45" s="20">
        <f t="shared" ref="F45:M45" si="21">F44-E44</f>
        <v>8.8009643835616416</v>
      </c>
      <c r="G45" s="20">
        <f t="shared" si="21"/>
        <v>16.641823561643861</v>
      </c>
      <c r="H45" s="20">
        <f t="shared" si="21"/>
        <v>2.8845827506849417</v>
      </c>
      <c r="I45" s="20">
        <f t="shared" si="21"/>
        <v>2.9999660607123246</v>
      </c>
      <c r="J45" s="20">
        <f t="shared" si="21"/>
        <v>3.1199647031408091</v>
      </c>
      <c r="K45" s="20">
        <f t="shared" si="21"/>
        <v>3.2447632912665085</v>
      </c>
      <c r="L45" s="20">
        <f t="shared" si="21"/>
        <v>3.3745538229170791</v>
      </c>
      <c r="M45" s="20">
        <f t="shared" si="21"/>
        <v>3.5095359758338276</v>
      </c>
    </row>
    <row r="47" spans="1:13" s="16" customFormat="1" ht="20.100000000000001" customHeight="1" thickBot="1" x14ac:dyDescent="0.35">
      <c r="A47" s="14" t="s">
        <v>38</v>
      </c>
      <c r="B47" s="14"/>
      <c r="C47" s="14"/>
      <c r="D47" s="15" t="str">
        <f>D$2</f>
        <v>Год 1</v>
      </c>
      <c r="E47" s="15" t="str">
        <f t="shared" ref="E47:M47" si="22">E$2</f>
        <v>Год 2</v>
      </c>
      <c r="F47" s="15" t="str">
        <f t="shared" si="22"/>
        <v>Год 3</v>
      </c>
      <c r="G47" s="15" t="str">
        <f t="shared" si="22"/>
        <v>Год 4</v>
      </c>
      <c r="H47" s="15" t="str">
        <f t="shared" si="22"/>
        <v>Год 5</v>
      </c>
      <c r="I47" s="15" t="str">
        <f t="shared" si="22"/>
        <v>Год 6</v>
      </c>
      <c r="J47" s="15" t="str">
        <f t="shared" si="22"/>
        <v>Год 7</v>
      </c>
      <c r="K47" s="15" t="str">
        <f t="shared" si="22"/>
        <v>Год 8</v>
      </c>
      <c r="L47" s="15" t="str">
        <f t="shared" si="22"/>
        <v>Год 9</v>
      </c>
      <c r="M47" s="15" t="str">
        <f t="shared" si="22"/>
        <v>Год 10</v>
      </c>
    </row>
    <row r="49" spans="1:13" x14ac:dyDescent="0.25">
      <c r="A49" s="4" t="s">
        <v>39</v>
      </c>
      <c r="B49" s="23">
        <v>1.2</v>
      </c>
    </row>
    <row r="50" spans="1:13" x14ac:dyDescent="0.25">
      <c r="A50" s="4" t="s">
        <v>40</v>
      </c>
      <c r="B50" s="7" t="str">
        <f>IF(SUM(D50:M50)=1, "ОК", "Ошибка")</f>
        <v>ОК</v>
      </c>
      <c r="C50" s="9" t="s">
        <v>11</v>
      </c>
      <c r="D50" s="24">
        <v>0.3</v>
      </c>
      <c r="E50" s="24">
        <v>0.7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</row>
    <row r="51" spans="1:13" x14ac:dyDescent="0.25">
      <c r="A51" s="4" t="s">
        <v>45</v>
      </c>
      <c r="B51" s="25">
        <f>SUM(D51:M51)</f>
        <v>1800</v>
      </c>
      <c r="C51" s="9" t="str">
        <f>CUR_NAME</f>
        <v>млн руб.</v>
      </c>
      <c r="D51" s="20">
        <f>$B$49*$B$6*D50</f>
        <v>540</v>
      </c>
      <c r="E51" s="20">
        <f t="shared" ref="E51:M51" si="23">$B$49*$B$6*E50</f>
        <v>1260</v>
      </c>
      <c r="F51" s="20">
        <f t="shared" si="23"/>
        <v>0</v>
      </c>
      <c r="G51" s="20">
        <f t="shared" si="23"/>
        <v>0</v>
      </c>
      <c r="H51" s="20">
        <f t="shared" si="23"/>
        <v>0</v>
      </c>
      <c r="I51" s="20">
        <f t="shared" si="23"/>
        <v>0</v>
      </c>
      <c r="J51" s="20">
        <f t="shared" si="23"/>
        <v>0</v>
      </c>
      <c r="K51" s="20">
        <f t="shared" si="23"/>
        <v>0</v>
      </c>
      <c r="L51" s="20">
        <f t="shared" si="23"/>
        <v>0</v>
      </c>
      <c r="M51" s="20">
        <f t="shared" si="23"/>
        <v>0</v>
      </c>
    </row>
    <row r="52" spans="1:13" x14ac:dyDescent="0.25">
      <c r="A52" s="4" t="s">
        <v>41</v>
      </c>
    </row>
    <row r="53" spans="1:13" x14ac:dyDescent="0.25">
      <c r="A53" s="4" t="s">
        <v>42</v>
      </c>
      <c r="B53" s="26">
        <f>1-B54-B55</f>
        <v>0.35000000000000003</v>
      </c>
      <c r="C53" s="9" t="s">
        <v>11</v>
      </c>
      <c r="D53" s="20">
        <f>D$51*$B53</f>
        <v>189.00000000000003</v>
      </c>
      <c r="E53" s="20">
        <f t="shared" ref="E53:M53" si="24">E$51*$B53</f>
        <v>441.00000000000006</v>
      </c>
      <c r="F53" s="20">
        <f t="shared" si="24"/>
        <v>0</v>
      </c>
      <c r="G53" s="20">
        <f t="shared" si="24"/>
        <v>0</v>
      </c>
      <c r="H53" s="20">
        <f t="shared" si="24"/>
        <v>0</v>
      </c>
      <c r="I53" s="20">
        <f t="shared" si="24"/>
        <v>0</v>
      </c>
      <c r="J53" s="20">
        <f t="shared" si="24"/>
        <v>0</v>
      </c>
      <c r="K53" s="20">
        <f t="shared" si="24"/>
        <v>0</v>
      </c>
      <c r="L53" s="20">
        <f t="shared" si="24"/>
        <v>0</v>
      </c>
      <c r="M53" s="20">
        <f t="shared" si="24"/>
        <v>0</v>
      </c>
    </row>
    <row r="54" spans="1:13" x14ac:dyDescent="0.25">
      <c r="A54" s="4" t="s">
        <v>43</v>
      </c>
      <c r="B54" s="23">
        <v>0.6</v>
      </c>
      <c r="C54" s="9" t="s">
        <v>11</v>
      </c>
      <c r="D54" s="20">
        <f t="shared" ref="D54:M55" si="25">D$51*$B54</f>
        <v>324</v>
      </c>
      <c r="E54" s="20">
        <f t="shared" si="25"/>
        <v>756</v>
      </c>
      <c r="F54" s="20">
        <f t="shared" si="25"/>
        <v>0</v>
      </c>
      <c r="G54" s="20">
        <f t="shared" si="25"/>
        <v>0</v>
      </c>
      <c r="H54" s="20">
        <f t="shared" si="25"/>
        <v>0</v>
      </c>
      <c r="I54" s="20">
        <f t="shared" si="25"/>
        <v>0</v>
      </c>
      <c r="J54" s="20">
        <f t="shared" si="25"/>
        <v>0</v>
      </c>
      <c r="K54" s="20">
        <f t="shared" si="25"/>
        <v>0</v>
      </c>
      <c r="L54" s="20">
        <f t="shared" si="25"/>
        <v>0</v>
      </c>
      <c r="M54" s="20">
        <f t="shared" si="25"/>
        <v>0</v>
      </c>
    </row>
    <row r="55" spans="1:13" x14ac:dyDescent="0.25">
      <c r="A55" s="4" t="s">
        <v>44</v>
      </c>
      <c r="B55" s="23">
        <v>0.05</v>
      </c>
      <c r="C55" s="9" t="s">
        <v>11</v>
      </c>
      <c r="D55" s="20">
        <f t="shared" si="25"/>
        <v>27</v>
      </c>
      <c r="E55" s="20">
        <f t="shared" si="25"/>
        <v>63</v>
      </c>
      <c r="F55" s="20">
        <f t="shared" si="25"/>
        <v>0</v>
      </c>
      <c r="G55" s="20">
        <f t="shared" si="25"/>
        <v>0</v>
      </c>
      <c r="H55" s="20">
        <f t="shared" si="25"/>
        <v>0</v>
      </c>
      <c r="I55" s="20">
        <f t="shared" si="25"/>
        <v>0</v>
      </c>
      <c r="J55" s="20">
        <f t="shared" si="25"/>
        <v>0</v>
      </c>
      <c r="K55" s="20">
        <f t="shared" si="25"/>
        <v>0</v>
      </c>
      <c r="L55" s="20">
        <f t="shared" si="25"/>
        <v>0</v>
      </c>
      <c r="M55" s="20">
        <f t="shared" si="25"/>
        <v>0</v>
      </c>
    </row>
    <row r="57" spans="1:13" x14ac:dyDescent="0.25">
      <c r="A57" s="4" t="s">
        <v>46</v>
      </c>
    </row>
    <row r="58" spans="1:13" x14ac:dyDescent="0.25">
      <c r="A58" s="4" t="s">
        <v>42</v>
      </c>
      <c r="C58" s="9" t="str">
        <f>CUR_NAME</f>
        <v>млн руб.</v>
      </c>
      <c r="D58" s="20">
        <f>D53</f>
        <v>189.00000000000003</v>
      </c>
      <c r="E58" s="20">
        <f>D58+E53</f>
        <v>630.00000000000011</v>
      </c>
      <c r="F58" s="20">
        <f t="shared" ref="F58:M58" si="26">E58+F53</f>
        <v>630.00000000000011</v>
      </c>
      <c r="G58" s="20">
        <f t="shared" si="26"/>
        <v>630.00000000000011</v>
      </c>
      <c r="H58" s="20">
        <f t="shared" si="26"/>
        <v>630.00000000000011</v>
      </c>
      <c r="I58" s="20">
        <f t="shared" si="26"/>
        <v>630.00000000000011</v>
      </c>
      <c r="J58" s="20">
        <f t="shared" si="26"/>
        <v>630.00000000000011</v>
      </c>
      <c r="K58" s="20">
        <f t="shared" si="26"/>
        <v>630.00000000000011</v>
      </c>
      <c r="L58" s="20">
        <f t="shared" si="26"/>
        <v>630.00000000000011</v>
      </c>
      <c r="M58" s="20">
        <f t="shared" si="26"/>
        <v>630.00000000000011</v>
      </c>
    </row>
    <row r="59" spans="1:13" x14ac:dyDescent="0.25">
      <c r="A59" s="4" t="s">
        <v>43</v>
      </c>
      <c r="C59" s="9" t="str">
        <f>CUR_NAME</f>
        <v>млн руб.</v>
      </c>
      <c r="D59" s="20">
        <f t="shared" ref="D59:D60" si="27">D54</f>
        <v>324</v>
      </c>
      <c r="E59" s="20">
        <f t="shared" ref="E59:M59" si="28">D59+E54</f>
        <v>1080</v>
      </c>
      <c r="F59" s="20">
        <f t="shared" si="28"/>
        <v>1080</v>
      </c>
      <c r="G59" s="20">
        <f t="shared" si="28"/>
        <v>1080</v>
      </c>
      <c r="H59" s="20">
        <f t="shared" si="28"/>
        <v>1080</v>
      </c>
      <c r="I59" s="20">
        <f t="shared" si="28"/>
        <v>1080</v>
      </c>
      <c r="J59" s="20">
        <f t="shared" si="28"/>
        <v>1080</v>
      </c>
      <c r="K59" s="20">
        <f t="shared" si="28"/>
        <v>1080</v>
      </c>
      <c r="L59" s="20">
        <f t="shared" si="28"/>
        <v>1080</v>
      </c>
      <c r="M59" s="20">
        <f t="shared" si="28"/>
        <v>1080</v>
      </c>
    </row>
    <row r="60" spans="1:13" x14ac:dyDescent="0.25">
      <c r="A60" s="4" t="s">
        <v>44</v>
      </c>
      <c r="C60" s="9" t="str">
        <f>CUR_NAME</f>
        <v>млн руб.</v>
      </c>
      <c r="D60" s="20">
        <f t="shared" si="27"/>
        <v>27</v>
      </c>
      <c r="E60" s="20">
        <f t="shared" ref="E60:M60" si="29">D60+E55</f>
        <v>90</v>
      </c>
      <c r="F60" s="20">
        <f t="shared" si="29"/>
        <v>90</v>
      </c>
      <c r="G60" s="20">
        <f t="shared" si="29"/>
        <v>90</v>
      </c>
      <c r="H60" s="20">
        <f t="shared" si="29"/>
        <v>90</v>
      </c>
      <c r="I60" s="20">
        <f t="shared" si="29"/>
        <v>90</v>
      </c>
      <c r="J60" s="20">
        <f t="shared" si="29"/>
        <v>90</v>
      </c>
      <c r="K60" s="20">
        <f t="shared" si="29"/>
        <v>90</v>
      </c>
      <c r="L60" s="20">
        <f t="shared" si="29"/>
        <v>90</v>
      </c>
      <c r="M60" s="20">
        <f t="shared" si="29"/>
        <v>90</v>
      </c>
    </row>
    <row r="62" spans="1:13" x14ac:dyDescent="0.25">
      <c r="A62" s="4" t="s">
        <v>47</v>
      </c>
      <c r="B62" s="4">
        <f>MATCH(0, D50:M50, 0)</f>
        <v>3</v>
      </c>
    </row>
    <row r="63" spans="1:13" x14ac:dyDescent="0.25">
      <c r="B63" s="7" t="s">
        <v>56</v>
      </c>
    </row>
    <row r="64" spans="1:13" x14ac:dyDescent="0.25">
      <c r="A64" s="4" t="s">
        <v>42</v>
      </c>
      <c r="B64" s="5">
        <v>20</v>
      </c>
      <c r="C64" s="9" t="str">
        <f>CUR_NAME</f>
        <v>млн руб.</v>
      </c>
      <c r="D64" s="20">
        <f>IF(D$1&lt;$B$62, 0, D58/$B64)</f>
        <v>0</v>
      </c>
      <c r="E64" s="20">
        <f>IF(E$1&lt;$B$62, 0, MIN(E58/$B64, E58-D69))</f>
        <v>0</v>
      </c>
      <c r="F64" s="20">
        <f t="shared" ref="F64:M64" si="30">IF(F$1&lt;$B$62, 0, MIN(F58/$B64, F58-E69))</f>
        <v>31.500000000000007</v>
      </c>
      <c r="G64" s="20">
        <f t="shared" si="30"/>
        <v>31.500000000000007</v>
      </c>
      <c r="H64" s="20">
        <f t="shared" si="30"/>
        <v>31.500000000000007</v>
      </c>
      <c r="I64" s="20">
        <f t="shared" si="30"/>
        <v>31.500000000000007</v>
      </c>
      <c r="J64" s="20">
        <f t="shared" si="30"/>
        <v>31.500000000000007</v>
      </c>
      <c r="K64" s="20">
        <f t="shared" si="30"/>
        <v>31.500000000000007</v>
      </c>
      <c r="L64" s="20">
        <f t="shared" si="30"/>
        <v>31.500000000000007</v>
      </c>
      <c r="M64" s="20">
        <f t="shared" si="30"/>
        <v>31.500000000000007</v>
      </c>
    </row>
    <row r="65" spans="1:13" x14ac:dyDescent="0.25">
      <c r="A65" s="4" t="s">
        <v>43</v>
      </c>
      <c r="B65" s="5">
        <v>20</v>
      </c>
      <c r="C65" s="9" t="str">
        <f>CUR_NAME</f>
        <v>млн руб.</v>
      </c>
      <c r="D65" s="20">
        <f t="shared" ref="D65:D66" si="31">IF(D$1&lt;$B$62, 0, D59/$B65)</f>
        <v>0</v>
      </c>
      <c r="E65" s="20">
        <f t="shared" ref="E65:M66" si="32">IF(E$1&lt;$B$62, 0, MIN(E59/$B65, E59-D70))</f>
        <v>0</v>
      </c>
      <c r="F65" s="20">
        <f t="shared" si="32"/>
        <v>54</v>
      </c>
      <c r="G65" s="20">
        <f t="shared" si="32"/>
        <v>54</v>
      </c>
      <c r="H65" s="20">
        <f t="shared" si="32"/>
        <v>54</v>
      </c>
      <c r="I65" s="20">
        <f t="shared" si="32"/>
        <v>54</v>
      </c>
      <c r="J65" s="20">
        <f t="shared" si="32"/>
        <v>54</v>
      </c>
      <c r="K65" s="20">
        <f t="shared" si="32"/>
        <v>54</v>
      </c>
      <c r="L65" s="20">
        <f t="shared" si="32"/>
        <v>54</v>
      </c>
      <c r="M65" s="20">
        <f t="shared" si="32"/>
        <v>54</v>
      </c>
    </row>
    <row r="66" spans="1:13" x14ac:dyDescent="0.25">
      <c r="A66" s="4" t="s">
        <v>44</v>
      </c>
      <c r="B66" s="5">
        <v>10</v>
      </c>
      <c r="C66" s="9" t="str">
        <f>CUR_NAME</f>
        <v>млн руб.</v>
      </c>
      <c r="D66" s="20">
        <f t="shared" si="31"/>
        <v>0</v>
      </c>
      <c r="E66" s="20">
        <f t="shared" si="32"/>
        <v>0</v>
      </c>
      <c r="F66" s="20">
        <f t="shared" si="32"/>
        <v>9</v>
      </c>
      <c r="G66" s="20">
        <f t="shared" si="32"/>
        <v>9</v>
      </c>
      <c r="H66" s="20">
        <f t="shared" si="32"/>
        <v>9</v>
      </c>
      <c r="I66" s="20">
        <f t="shared" si="32"/>
        <v>9</v>
      </c>
      <c r="J66" s="20">
        <f t="shared" si="32"/>
        <v>9</v>
      </c>
      <c r="K66" s="20">
        <f t="shared" si="32"/>
        <v>9</v>
      </c>
      <c r="L66" s="20">
        <f t="shared" si="32"/>
        <v>9</v>
      </c>
      <c r="M66" s="20">
        <f t="shared" si="32"/>
        <v>9</v>
      </c>
    </row>
    <row r="68" spans="1:13" x14ac:dyDescent="0.25">
      <c r="A68" s="4" t="s">
        <v>49</v>
      </c>
    </row>
    <row r="69" spans="1:13" x14ac:dyDescent="0.25">
      <c r="A69" s="4" t="s">
        <v>42</v>
      </c>
      <c r="C69" s="9" t="str">
        <f>CUR_NAME</f>
        <v>млн руб.</v>
      </c>
      <c r="D69" s="20">
        <f>D64</f>
        <v>0</v>
      </c>
      <c r="E69" s="20">
        <f>D69+E64</f>
        <v>0</v>
      </c>
      <c r="F69" s="20">
        <f t="shared" ref="F69:M69" si="33">E69+F64</f>
        <v>31.500000000000007</v>
      </c>
      <c r="G69" s="20">
        <f t="shared" si="33"/>
        <v>63.000000000000014</v>
      </c>
      <c r="H69" s="20">
        <f t="shared" si="33"/>
        <v>94.500000000000028</v>
      </c>
      <c r="I69" s="20">
        <f t="shared" si="33"/>
        <v>126.00000000000003</v>
      </c>
      <c r="J69" s="20">
        <f t="shared" si="33"/>
        <v>157.50000000000003</v>
      </c>
      <c r="K69" s="20">
        <f t="shared" si="33"/>
        <v>189.00000000000003</v>
      </c>
      <c r="L69" s="20">
        <f t="shared" si="33"/>
        <v>220.50000000000003</v>
      </c>
      <c r="M69" s="20">
        <f t="shared" si="33"/>
        <v>252.00000000000003</v>
      </c>
    </row>
    <row r="70" spans="1:13" x14ac:dyDescent="0.25">
      <c r="A70" s="4" t="s">
        <v>43</v>
      </c>
      <c r="C70" s="9" t="str">
        <f>CUR_NAME</f>
        <v>млн руб.</v>
      </c>
      <c r="D70" s="20">
        <f t="shared" ref="D70:D71" si="34">D65</f>
        <v>0</v>
      </c>
      <c r="E70" s="20">
        <f t="shared" ref="E70:M71" si="35">D70+E65</f>
        <v>0</v>
      </c>
      <c r="F70" s="20">
        <f t="shared" si="35"/>
        <v>54</v>
      </c>
      <c r="G70" s="20">
        <f t="shared" si="35"/>
        <v>108</v>
      </c>
      <c r="H70" s="20">
        <f t="shared" si="35"/>
        <v>162</v>
      </c>
      <c r="I70" s="20">
        <f t="shared" si="35"/>
        <v>216</v>
      </c>
      <c r="J70" s="20">
        <f t="shared" si="35"/>
        <v>270</v>
      </c>
      <c r="K70" s="20">
        <f t="shared" si="35"/>
        <v>324</v>
      </c>
      <c r="L70" s="20">
        <f t="shared" si="35"/>
        <v>378</v>
      </c>
      <c r="M70" s="20">
        <f t="shared" si="35"/>
        <v>432</v>
      </c>
    </row>
    <row r="71" spans="1:13" x14ac:dyDescent="0.25">
      <c r="A71" s="4" t="s">
        <v>44</v>
      </c>
      <c r="C71" s="9" t="str">
        <f>CUR_NAME</f>
        <v>млн руб.</v>
      </c>
      <c r="D71" s="20">
        <f t="shared" si="34"/>
        <v>0</v>
      </c>
      <c r="E71" s="20">
        <f t="shared" si="35"/>
        <v>0</v>
      </c>
      <c r="F71" s="20">
        <f t="shared" si="35"/>
        <v>9</v>
      </c>
      <c r="G71" s="20">
        <f t="shared" si="35"/>
        <v>18</v>
      </c>
      <c r="H71" s="20">
        <f t="shared" si="35"/>
        <v>27</v>
      </c>
      <c r="I71" s="20">
        <f t="shared" si="35"/>
        <v>36</v>
      </c>
      <c r="J71" s="20">
        <f t="shared" si="35"/>
        <v>45</v>
      </c>
      <c r="K71" s="20">
        <f t="shared" si="35"/>
        <v>54</v>
      </c>
      <c r="L71" s="20">
        <f t="shared" si="35"/>
        <v>63</v>
      </c>
      <c r="M71" s="20">
        <f t="shared" si="35"/>
        <v>72</v>
      </c>
    </row>
    <row r="73" spans="1:13" x14ac:dyDescent="0.25">
      <c r="A73" s="4" t="s">
        <v>48</v>
      </c>
    </row>
    <row r="74" spans="1:13" x14ac:dyDescent="0.25">
      <c r="A74" s="4" t="s">
        <v>42</v>
      </c>
      <c r="C74" s="9" t="str">
        <f>CUR_NAME</f>
        <v>млн руб.</v>
      </c>
      <c r="D74" s="20">
        <f>D58-D69</f>
        <v>189.00000000000003</v>
      </c>
      <c r="E74" s="20">
        <f t="shared" ref="E74:M74" si="36">E58-E69</f>
        <v>630.00000000000011</v>
      </c>
      <c r="F74" s="20">
        <f t="shared" si="36"/>
        <v>598.50000000000011</v>
      </c>
      <c r="G74" s="20">
        <f t="shared" si="36"/>
        <v>567.00000000000011</v>
      </c>
      <c r="H74" s="20">
        <f t="shared" si="36"/>
        <v>535.50000000000011</v>
      </c>
      <c r="I74" s="20">
        <f t="shared" si="36"/>
        <v>504.00000000000011</v>
      </c>
      <c r="J74" s="20">
        <f t="shared" si="36"/>
        <v>472.50000000000011</v>
      </c>
      <c r="K74" s="20">
        <f t="shared" si="36"/>
        <v>441.00000000000011</v>
      </c>
      <c r="L74" s="20">
        <f t="shared" si="36"/>
        <v>409.50000000000011</v>
      </c>
      <c r="M74" s="20">
        <f t="shared" si="36"/>
        <v>378.00000000000011</v>
      </c>
    </row>
    <row r="75" spans="1:13" x14ac:dyDescent="0.25">
      <c r="A75" s="4" t="s">
        <v>43</v>
      </c>
      <c r="C75" s="9" t="str">
        <f>CUR_NAME</f>
        <v>млн руб.</v>
      </c>
      <c r="D75" s="20">
        <f t="shared" ref="D75:M76" si="37">D59-D70</f>
        <v>324</v>
      </c>
      <c r="E75" s="20">
        <f t="shared" si="37"/>
        <v>1080</v>
      </c>
      <c r="F75" s="20">
        <f t="shared" si="37"/>
        <v>1026</v>
      </c>
      <c r="G75" s="20">
        <f t="shared" si="37"/>
        <v>972</v>
      </c>
      <c r="H75" s="20">
        <f t="shared" si="37"/>
        <v>918</v>
      </c>
      <c r="I75" s="20">
        <f t="shared" si="37"/>
        <v>864</v>
      </c>
      <c r="J75" s="20">
        <f t="shared" si="37"/>
        <v>810</v>
      </c>
      <c r="K75" s="20">
        <f t="shared" si="37"/>
        <v>756</v>
      </c>
      <c r="L75" s="20">
        <f t="shared" si="37"/>
        <v>702</v>
      </c>
      <c r="M75" s="20">
        <f t="shared" si="37"/>
        <v>648</v>
      </c>
    </row>
    <row r="76" spans="1:13" x14ac:dyDescent="0.25">
      <c r="A76" s="4" t="s">
        <v>44</v>
      </c>
      <c r="C76" s="9" t="str">
        <f>CUR_NAME</f>
        <v>млн руб.</v>
      </c>
      <c r="D76" s="20">
        <f t="shared" si="37"/>
        <v>27</v>
      </c>
      <c r="E76" s="20">
        <f t="shared" si="37"/>
        <v>90</v>
      </c>
      <c r="F76" s="20">
        <f t="shared" si="37"/>
        <v>81</v>
      </c>
      <c r="G76" s="20">
        <f t="shared" si="37"/>
        <v>72</v>
      </c>
      <c r="H76" s="20">
        <f t="shared" si="37"/>
        <v>63</v>
      </c>
      <c r="I76" s="20">
        <f t="shared" si="37"/>
        <v>54</v>
      </c>
      <c r="J76" s="20">
        <f t="shared" si="37"/>
        <v>45</v>
      </c>
      <c r="K76" s="20">
        <f t="shared" si="37"/>
        <v>36</v>
      </c>
      <c r="L76" s="20">
        <f t="shared" si="37"/>
        <v>27</v>
      </c>
      <c r="M76" s="20">
        <f t="shared" si="37"/>
        <v>18</v>
      </c>
    </row>
    <row r="78" spans="1:13" s="16" customFormat="1" ht="20.100000000000001" customHeight="1" thickBot="1" x14ac:dyDescent="0.35">
      <c r="A78" s="14" t="s">
        <v>50</v>
      </c>
      <c r="B78" s="14"/>
      <c r="C78" s="14"/>
      <c r="D78" s="15" t="str">
        <f>D$2</f>
        <v>Год 1</v>
      </c>
      <c r="E78" s="15" t="str">
        <f t="shared" ref="E78:M78" si="38">E$2</f>
        <v>Год 2</v>
      </c>
      <c r="F78" s="15" t="str">
        <f t="shared" si="38"/>
        <v>Год 3</v>
      </c>
      <c r="G78" s="15" t="str">
        <f t="shared" si="38"/>
        <v>Год 4</v>
      </c>
      <c r="H78" s="15" t="str">
        <f t="shared" si="38"/>
        <v>Год 5</v>
      </c>
      <c r="I78" s="15" t="str">
        <f t="shared" si="38"/>
        <v>Год 6</v>
      </c>
      <c r="J78" s="15" t="str">
        <f t="shared" si="38"/>
        <v>Год 7</v>
      </c>
      <c r="K78" s="15" t="str">
        <f t="shared" si="38"/>
        <v>Год 8</v>
      </c>
      <c r="L78" s="15" t="str">
        <f t="shared" si="38"/>
        <v>Год 9</v>
      </c>
      <c r="M78" s="15" t="str">
        <f t="shared" si="38"/>
        <v>Год 10</v>
      </c>
    </row>
    <row r="80" spans="1:13" x14ac:dyDescent="0.25">
      <c r="A80" s="4" t="s">
        <v>51</v>
      </c>
      <c r="B80" s="23">
        <v>0.2</v>
      </c>
      <c r="C80" s="9" t="s">
        <v>11</v>
      </c>
    </row>
    <row r="81" spans="1:13" x14ac:dyDescent="0.25">
      <c r="A81" s="4" t="s">
        <v>52</v>
      </c>
      <c r="B81" s="26">
        <f>1-B80</f>
        <v>0.8</v>
      </c>
      <c r="C81" s="9" t="s">
        <v>11</v>
      </c>
    </row>
    <row r="83" spans="1:13" x14ac:dyDescent="0.25">
      <c r="A83" s="4" t="s">
        <v>84</v>
      </c>
      <c r="C83" s="9" t="str">
        <f>CUR_NAME</f>
        <v>млн руб.</v>
      </c>
      <c r="D83" s="7">
        <f>D51*$B$80</f>
        <v>108</v>
      </c>
      <c r="E83" s="7">
        <f t="shared" ref="E83:M83" si="39">E51*$B$80</f>
        <v>252</v>
      </c>
      <c r="F83" s="7">
        <f t="shared" si="39"/>
        <v>0</v>
      </c>
      <c r="G83" s="7">
        <f t="shared" si="39"/>
        <v>0</v>
      </c>
      <c r="H83" s="7">
        <f t="shared" si="39"/>
        <v>0</v>
      </c>
      <c r="I83" s="7">
        <f t="shared" si="39"/>
        <v>0</v>
      </c>
      <c r="J83" s="7">
        <f t="shared" si="39"/>
        <v>0</v>
      </c>
      <c r="K83" s="7">
        <f t="shared" si="39"/>
        <v>0</v>
      </c>
      <c r="L83" s="7">
        <f t="shared" si="39"/>
        <v>0</v>
      </c>
      <c r="M83" s="7">
        <f t="shared" si="39"/>
        <v>0</v>
      </c>
    </row>
    <row r="84" spans="1:13" x14ac:dyDescent="0.25">
      <c r="A84" s="4" t="s">
        <v>53</v>
      </c>
      <c r="C84" s="9" t="str">
        <f>CUR_NAME</f>
        <v>млн руб.</v>
      </c>
      <c r="D84" s="7">
        <f>D83</f>
        <v>108</v>
      </c>
      <c r="E84" s="7">
        <f>D84+E83</f>
        <v>360</v>
      </c>
      <c r="F84" s="7">
        <f t="shared" ref="F84:M84" si="40">E84+F83</f>
        <v>360</v>
      </c>
      <c r="G84" s="7">
        <f t="shared" si="40"/>
        <v>360</v>
      </c>
      <c r="H84" s="7">
        <f t="shared" si="40"/>
        <v>360</v>
      </c>
      <c r="I84" s="7">
        <f t="shared" si="40"/>
        <v>360</v>
      </c>
      <c r="J84" s="7">
        <f t="shared" si="40"/>
        <v>360</v>
      </c>
      <c r="K84" s="7">
        <f t="shared" si="40"/>
        <v>360</v>
      </c>
      <c r="L84" s="7">
        <f t="shared" si="40"/>
        <v>360</v>
      </c>
      <c r="M84" s="7">
        <f t="shared" si="40"/>
        <v>360</v>
      </c>
    </row>
    <row r="85" spans="1:13" x14ac:dyDescent="0.25">
      <c r="A85" s="4" t="s">
        <v>54</v>
      </c>
      <c r="C85" s="9" t="s">
        <v>11</v>
      </c>
      <c r="D85" s="24">
        <v>0</v>
      </c>
      <c r="E85" s="24">
        <v>0.1</v>
      </c>
      <c r="F85" s="24">
        <v>0.1</v>
      </c>
      <c r="G85" s="24">
        <v>0.1</v>
      </c>
      <c r="H85" s="24">
        <v>0.1</v>
      </c>
      <c r="I85" s="24">
        <v>0.1</v>
      </c>
      <c r="J85" s="24">
        <v>0.1</v>
      </c>
      <c r="K85" s="24">
        <v>0.1</v>
      </c>
      <c r="L85" s="24">
        <v>0.1</v>
      </c>
      <c r="M85" s="24">
        <v>0.1</v>
      </c>
    </row>
    <row r="86" spans="1:13" x14ac:dyDescent="0.25">
      <c r="A86" s="4" t="s">
        <v>55</v>
      </c>
      <c r="C86" s="9" t="str">
        <f>CUR_NAME</f>
        <v>млн руб.</v>
      </c>
      <c r="D86" s="20">
        <f ca="1">MAX(D123*D85,0)</f>
        <v>0</v>
      </c>
      <c r="E86" s="20">
        <f t="shared" ref="E86:M86" ca="1" si="41">MAX(E123*E85,0)</f>
        <v>12.360458651317659</v>
      </c>
      <c r="F86" s="20">
        <f t="shared" ca="1" si="41"/>
        <v>8.4537328913176548</v>
      </c>
      <c r="G86" s="20">
        <f t="shared" ca="1" si="41"/>
        <v>15.672811246251937</v>
      </c>
      <c r="H86" s="20">
        <f t="shared" ca="1" si="41"/>
        <v>17.445537037371807</v>
      </c>
      <c r="I86" s="20">
        <f t="shared" ca="1" si="41"/>
        <v>19.358357994933968</v>
      </c>
      <c r="J86" s="20">
        <f t="shared" ca="1" si="41"/>
        <v>21.381451848094812</v>
      </c>
      <c r="K86" s="20">
        <f t="shared" ca="1" si="41"/>
        <v>23.52072940849343</v>
      </c>
      <c r="L86" s="20">
        <f t="shared" ca="1" si="41"/>
        <v>25.782402915739386</v>
      </c>
      <c r="M86" s="20">
        <f t="shared" ca="1" si="41"/>
        <v>28.17300091094906</v>
      </c>
    </row>
    <row r="88" spans="1:13" x14ac:dyDescent="0.25">
      <c r="A88" s="4" t="s">
        <v>57</v>
      </c>
      <c r="C88" s="9" t="str">
        <f>CUR_NAME</f>
        <v>млн руб.</v>
      </c>
      <c r="D88" s="20">
        <f ca="1">IF(D1&lt;$B$62, MAX(-D145+D138,0), 0)</f>
        <v>459.11368421052691</v>
      </c>
      <c r="E88" s="20">
        <f t="shared" ref="E88:M88" ca="1" si="42">IF(E1&lt;$B$62, MAX(-E145+E138,0), 0)</f>
        <v>943.42765296005905</v>
      </c>
      <c r="F88" s="20">
        <f t="shared" si="42"/>
        <v>0</v>
      </c>
      <c r="G88" s="20">
        <f t="shared" si="42"/>
        <v>0</v>
      </c>
      <c r="H88" s="20">
        <f t="shared" si="42"/>
        <v>0</v>
      </c>
      <c r="I88" s="20">
        <f t="shared" si="42"/>
        <v>0</v>
      </c>
      <c r="J88" s="20">
        <f t="shared" si="42"/>
        <v>0</v>
      </c>
      <c r="K88" s="20">
        <f t="shared" si="42"/>
        <v>0</v>
      </c>
      <c r="L88" s="20">
        <f t="shared" si="42"/>
        <v>0</v>
      </c>
      <c r="M88" s="20">
        <f t="shared" si="42"/>
        <v>0</v>
      </c>
    </row>
    <row r="89" spans="1:13" x14ac:dyDescent="0.25">
      <c r="A89" s="4" t="s">
        <v>58</v>
      </c>
      <c r="C89" s="9" t="str">
        <f>CUR_NAME</f>
        <v>млн руб.</v>
      </c>
      <c r="D89" s="20">
        <f>IF(D1&gt;=$B$62, MIN(MAX(D145-D139,0), D90, (D130-D120+D135)/$B$94+D120), 0)</f>
        <v>0</v>
      </c>
      <c r="E89" s="20">
        <f t="shared" ref="E89:M89" si="43">IF(E1&gt;=$B$62, MIN(MAX(E145-E139,0), E90, (E130-E120+E135)/$B$94+E120), 0)</f>
        <v>0</v>
      </c>
      <c r="F89" s="20">
        <f t="shared" ca="1" si="43"/>
        <v>90.115220733566829</v>
      </c>
      <c r="G89" s="20">
        <f t="shared" ca="1" si="43"/>
        <v>134.5170906599667</v>
      </c>
      <c r="H89" s="20">
        <f t="shared" ca="1" si="43"/>
        <v>157.74870798573787</v>
      </c>
      <c r="I89" s="20">
        <f t="shared" ca="1" si="43"/>
        <v>173.05307062922967</v>
      </c>
      <c r="J89" s="20">
        <f t="shared" ca="1" si="43"/>
        <v>189.34458173250326</v>
      </c>
      <c r="K89" s="20">
        <f t="shared" ca="1" si="43"/>
        <v>206.67897610528573</v>
      </c>
      <c r="L89" s="20">
        <f t="shared" ca="1" si="43"/>
        <v>225.11492206760698</v>
      </c>
      <c r="M89" s="20">
        <f t="shared" ca="1" si="43"/>
        <v>225.96876727197096</v>
      </c>
    </row>
    <row r="90" spans="1:13" x14ac:dyDescent="0.25">
      <c r="A90" s="4" t="s">
        <v>59</v>
      </c>
      <c r="C90" s="9" t="str">
        <f>CUR_NAME</f>
        <v>млн руб.</v>
      </c>
      <c r="D90" s="20">
        <f ca="1">D88</f>
        <v>459.11368421052691</v>
      </c>
      <c r="E90" s="20">
        <f ca="1">D91+E88</f>
        <v>1402.5413371705858</v>
      </c>
      <c r="F90" s="20">
        <f t="shared" ref="F90:M90" ca="1" si="44">E91+F88</f>
        <v>1402.5413371705858</v>
      </c>
      <c r="G90" s="20">
        <f t="shared" ca="1" si="44"/>
        <v>1312.4261164370191</v>
      </c>
      <c r="H90" s="20">
        <f t="shared" ca="1" si="44"/>
        <v>1177.9090257770524</v>
      </c>
      <c r="I90" s="20">
        <f t="shared" ca="1" si="44"/>
        <v>1020.1603177913146</v>
      </c>
      <c r="J90" s="20">
        <f t="shared" ca="1" si="44"/>
        <v>847.10724716208483</v>
      </c>
      <c r="K90" s="20">
        <f t="shared" ca="1" si="44"/>
        <v>657.7626654296007</v>
      </c>
      <c r="L90" s="20">
        <f t="shared" ca="1" si="44"/>
        <v>451.08368932419984</v>
      </c>
      <c r="M90" s="20">
        <f t="shared" ca="1" si="44"/>
        <v>225.96876725486956</v>
      </c>
    </row>
    <row r="91" spans="1:13" x14ac:dyDescent="0.25">
      <c r="A91" s="4" t="s">
        <v>60</v>
      </c>
      <c r="C91" s="9" t="str">
        <f>CUR_NAME</f>
        <v>млн руб.</v>
      </c>
      <c r="D91" s="20">
        <f ca="1">D90-D89</f>
        <v>459.11368421052691</v>
      </c>
      <c r="E91" s="20">
        <f t="shared" ref="E91:M91" ca="1" si="45">E90-E89</f>
        <v>1402.5413371705858</v>
      </c>
      <c r="F91" s="20">
        <f t="shared" ca="1" si="45"/>
        <v>1312.4261164370191</v>
      </c>
      <c r="G91" s="20">
        <f t="shared" ca="1" si="45"/>
        <v>1177.9090257770524</v>
      </c>
      <c r="H91" s="20">
        <f t="shared" ca="1" si="45"/>
        <v>1020.1603177913146</v>
      </c>
      <c r="I91" s="20">
        <f t="shared" ca="1" si="45"/>
        <v>847.10724716208495</v>
      </c>
      <c r="J91" s="20">
        <f t="shared" ca="1" si="45"/>
        <v>657.7626654295816</v>
      </c>
      <c r="K91" s="20">
        <f t="shared" ca="1" si="45"/>
        <v>451.08368932431495</v>
      </c>
      <c r="L91" s="20">
        <f t="shared" ca="1" si="45"/>
        <v>225.96876725659286</v>
      </c>
      <c r="M91" s="20">
        <f t="shared" ca="1" si="45"/>
        <v>-1.7101399407692952E-8</v>
      </c>
    </row>
    <row r="92" spans="1:13" x14ac:dyDescent="0.25">
      <c r="A92" s="4" t="s">
        <v>61</v>
      </c>
      <c r="B92" s="10">
        <v>0.05</v>
      </c>
      <c r="C92" s="9" t="s">
        <v>11</v>
      </c>
      <c r="D92" s="27">
        <f>$B$92</f>
        <v>0.05</v>
      </c>
      <c r="E92" s="27">
        <f t="shared" ref="E92:M92" si="46">$B$92</f>
        <v>0.05</v>
      </c>
      <c r="F92" s="27">
        <f t="shared" si="46"/>
        <v>0.05</v>
      </c>
      <c r="G92" s="27">
        <f t="shared" si="46"/>
        <v>0.05</v>
      </c>
      <c r="H92" s="27">
        <f t="shared" si="46"/>
        <v>0.05</v>
      </c>
      <c r="I92" s="27">
        <f t="shared" si="46"/>
        <v>0.05</v>
      </c>
      <c r="J92" s="27">
        <f t="shared" si="46"/>
        <v>0.05</v>
      </c>
      <c r="K92" s="27">
        <f t="shared" si="46"/>
        <v>0.05</v>
      </c>
      <c r="L92" s="27">
        <f t="shared" si="46"/>
        <v>0.05</v>
      </c>
      <c r="M92" s="27">
        <f t="shared" si="46"/>
        <v>0.05</v>
      </c>
    </row>
    <row r="93" spans="1:13" x14ac:dyDescent="0.25">
      <c r="A93" s="4" t="s">
        <v>62</v>
      </c>
      <c r="C93" s="9" t="str">
        <f>CUR_NAME</f>
        <v>млн руб.</v>
      </c>
      <c r="D93" s="20">
        <f ca="1">D90*D92</f>
        <v>22.955684210526346</v>
      </c>
      <c r="E93" s="20">
        <f t="shared" ref="E93:M93" ca="1" si="47">E90*E92</f>
        <v>70.12706685852929</v>
      </c>
      <c r="F93" s="20">
        <f t="shared" ca="1" si="47"/>
        <v>70.12706685852929</v>
      </c>
      <c r="G93" s="20">
        <f t="shared" ca="1" si="47"/>
        <v>65.621305821850953</v>
      </c>
      <c r="H93" s="20">
        <f t="shared" ca="1" si="47"/>
        <v>58.895451288852627</v>
      </c>
      <c r="I93" s="20">
        <f t="shared" ca="1" si="47"/>
        <v>51.008015889565733</v>
      </c>
      <c r="J93" s="20">
        <f t="shared" ca="1" si="47"/>
        <v>42.355362358104244</v>
      </c>
      <c r="K93" s="20">
        <f t="shared" ca="1" si="47"/>
        <v>32.888133271480037</v>
      </c>
      <c r="L93" s="20">
        <f t="shared" ca="1" si="47"/>
        <v>22.554184466209993</v>
      </c>
      <c r="M93" s="20">
        <f t="shared" ca="1" si="47"/>
        <v>11.298438362743479</v>
      </c>
    </row>
    <row r="94" spans="1:13" x14ac:dyDescent="0.25">
      <c r="A94" s="4" t="s">
        <v>63</v>
      </c>
      <c r="B94" s="5">
        <v>1.5</v>
      </c>
      <c r="C94" s="9" t="s">
        <v>64</v>
      </c>
      <c r="D94" s="12" t="str">
        <f>IF(D1&gt;=$B$62, IFERROR((D130-D120+D135)/(-D120-D139), "-"), "-")</f>
        <v>-</v>
      </c>
      <c r="E94" s="12" t="str">
        <f t="shared" ref="E94:M94" si="48">IF(E1&gt;=$B$62, IFERROR((E130-E120+E135)/(-E120-E139), "-"), "-")</f>
        <v>-</v>
      </c>
      <c r="F94" s="12">
        <f t="shared" ca="1" si="48"/>
        <v>1.5</v>
      </c>
      <c r="G94" s="12">
        <f t="shared" ca="1" si="48"/>
        <v>1.4999999999999998</v>
      </c>
      <c r="H94" s="12">
        <f t="shared" ca="1" si="48"/>
        <v>1.4999999999999998</v>
      </c>
      <c r="I94" s="12">
        <f t="shared" ca="1" si="48"/>
        <v>1.5000000000000013</v>
      </c>
      <c r="J94" s="12">
        <f t="shared" ca="1" si="48"/>
        <v>1.50000000000004</v>
      </c>
      <c r="K94" s="12">
        <f t="shared" ca="1" si="48"/>
        <v>1.49999999999949</v>
      </c>
      <c r="L94" s="12">
        <f t="shared" ca="1" si="48"/>
        <v>1.499999999998942</v>
      </c>
      <c r="M94" s="12">
        <f t="shared" ca="1" si="48"/>
        <v>1.6185081723173451</v>
      </c>
    </row>
    <row r="96" spans="1:13" s="16" customFormat="1" ht="20.100000000000001" customHeight="1" thickBot="1" x14ac:dyDescent="0.35">
      <c r="A96" s="14" t="s">
        <v>86</v>
      </c>
      <c r="B96" s="14"/>
      <c r="C96" s="14"/>
      <c r="D96" s="15" t="str">
        <f>D$2</f>
        <v>Год 1</v>
      </c>
      <c r="E96" s="15" t="str">
        <f t="shared" ref="E96:M109" si="49">E$2</f>
        <v>Год 2</v>
      </c>
      <c r="F96" s="15" t="str">
        <f t="shared" si="49"/>
        <v>Год 3</v>
      </c>
      <c r="G96" s="15" t="str">
        <f t="shared" si="49"/>
        <v>Год 4</v>
      </c>
      <c r="H96" s="15" t="str">
        <f t="shared" si="49"/>
        <v>Год 5</v>
      </c>
      <c r="I96" s="15" t="str">
        <f t="shared" si="49"/>
        <v>Год 6</v>
      </c>
      <c r="J96" s="15" t="str">
        <f t="shared" si="49"/>
        <v>Год 7</v>
      </c>
      <c r="K96" s="15" t="str">
        <f t="shared" si="49"/>
        <v>Год 8</v>
      </c>
      <c r="L96" s="15" t="str">
        <f t="shared" si="49"/>
        <v>Год 9</v>
      </c>
      <c r="M96" s="15" t="str">
        <f t="shared" si="49"/>
        <v>Год 10</v>
      </c>
    </row>
    <row r="98" spans="1:13" x14ac:dyDescent="0.25">
      <c r="A98" s="4" t="s">
        <v>72</v>
      </c>
      <c r="B98" s="29">
        <v>0.2</v>
      </c>
      <c r="C98" s="9" t="str">
        <f>CUR_NAME</f>
        <v>млн руб.</v>
      </c>
      <c r="D98" s="20">
        <f ca="1">MAX(D121*$B$98,0)</f>
        <v>0</v>
      </c>
      <c r="E98" s="20">
        <f t="shared" ref="E98:M98" ca="1" si="50">MAX(E121*$B$98,0)</f>
        <v>30.901146628294146</v>
      </c>
      <c r="F98" s="20">
        <f t="shared" ca="1" si="50"/>
        <v>21.134332228294141</v>
      </c>
      <c r="G98" s="20">
        <f t="shared" ca="1" si="50"/>
        <v>39.182028115629841</v>
      </c>
      <c r="H98" s="20">
        <f t="shared" ca="1" si="50"/>
        <v>43.613842593429524</v>
      </c>
      <c r="I98" s="20">
        <f t="shared" ca="1" si="50"/>
        <v>48.395894987334906</v>
      </c>
      <c r="J98" s="20">
        <f t="shared" ca="1" si="50"/>
        <v>53.45362962023701</v>
      </c>
      <c r="K98" s="20">
        <f t="shared" ca="1" si="50"/>
        <v>58.801823521236599</v>
      </c>
      <c r="L98" s="20">
        <f t="shared" ca="1" si="50"/>
        <v>64.456007289327076</v>
      </c>
      <c r="M98" s="20">
        <f t="shared" ca="1" si="50"/>
        <v>70.432502277136038</v>
      </c>
    </row>
    <row r="99" spans="1:13" x14ac:dyDescent="0.25">
      <c r="A99" s="4" t="s">
        <v>67</v>
      </c>
      <c r="B99" s="29">
        <v>2.1999999999999999E-2</v>
      </c>
      <c r="C99" s="9" t="str">
        <f>CUR_NAME</f>
        <v>млн руб.</v>
      </c>
      <c r="D99" s="20">
        <f>D74*$B$99</f>
        <v>4.1580000000000004</v>
      </c>
      <c r="E99" s="20">
        <f t="shared" ref="E99:M99" si="51">E74*$B$99</f>
        <v>13.860000000000001</v>
      </c>
      <c r="F99" s="20">
        <f t="shared" si="51"/>
        <v>13.167000000000002</v>
      </c>
      <c r="G99" s="20">
        <f t="shared" si="51"/>
        <v>12.474000000000002</v>
      </c>
      <c r="H99" s="20">
        <f t="shared" si="51"/>
        <v>11.781000000000002</v>
      </c>
      <c r="I99" s="20">
        <f t="shared" si="51"/>
        <v>11.088000000000003</v>
      </c>
      <c r="J99" s="20">
        <f t="shared" si="51"/>
        <v>10.395000000000001</v>
      </c>
      <c r="K99" s="20">
        <f t="shared" si="51"/>
        <v>9.7020000000000017</v>
      </c>
      <c r="L99" s="20">
        <f t="shared" si="51"/>
        <v>9.0090000000000021</v>
      </c>
      <c r="M99" s="20">
        <f t="shared" si="51"/>
        <v>8.3160000000000025</v>
      </c>
    </row>
    <row r="100" spans="1:13" x14ac:dyDescent="0.25">
      <c r="A100" s="4" t="s">
        <v>98</v>
      </c>
      <c r="B100" s="29">
        <v>0.3</v>
      </c>
      <c r="C100" s="9" t="str">
        <f>CUR_NAME</f>
        <v>млн руб.</v>
      </c>
      <c r="D100" s="20">
        <f>D34*$B$100</f>
        <v>0</v>
      </c>
      <c r="E100" s="20">
        <f t="shared" ref="E100:M100" si="52">E34*$B$100</f>
        <v>61.326720000000002</v>
      </c>
      <c r="F100" s="20">
        <f t="shared" si="52"/>
        <v>72.89118719999999</v>
      </c>
      <c r="G100" s="20">
        <f t="shared" si="52"/>
        <v>94.758543360000019</v>
      </c>
      <c r="H100" s="20">
        <f t="shared" si="52"/>
        <v>98.548885094400021</v>
      </c>
      <c r="I100" s="20">
        <f t="shared" si="52"/>
        <v>102.49084049817603</v>
      </c>
      <c r="J100" s="20">
        <f t="shared" si="52"/>
        <v>106.59047411810306</v>
      </c>
      <c r="K100" s="20">
        <f t="shared" si="52"/>
        <v>110.85409308282721</v>
      </c>
      <c r="L100" s="20">
        <f t="shared" si="52"/>
        <v>115.2882568061403</v>
      </c>
      <c r="M100" s="20">
        <f t="shared" si="52"/>
        <v>119.89978707838591</v>
      </c>
    </row>
    <row r="101" spans="1:13" x14ac:dyDescent="0.25">
      <c r="A101" s="4" t="s">
        <v>99</v>
      </c>
      <c r="B101" s="29">
        <v>0.13</v>
      </c>
      <c r="C101" s="9" t="str">
        <f>CUR_NAME</f>
        <v>млн руб.</v>
      </c>
      <c r="D101" s="20">
        <f>D34*$B$101</f>
        <v>0</v>
      </c>
      <c r="E101" s="20">
        <f t="shared" ref="E101:M101" si="53">E34*$B$101</f>
        <v>26.574912000000001</v>
      </c>
      <c r="F101" s="20">
        <f t="shared" si="53"/>
        <v>31.586181119999999</v>
      </c>
      <c r="G101" s="20">
        <f t="shared" si="53"/>
        <v>41.062035456000011</v>
      </c>
      <c r="H101" s="20">
        <f t="shared" si="53"/>
        <v>42.704516874240014</v>
      </c>
      <c r="I101" s="20">
        <f t="shared" si="53"/>
        <v>44.412697549209618</v>
      </c>
      <c r="J101" s="20">
        <f t="shared" si="53"/>
        <v>46.189205451177997</v>
      </c>
      <c r="K101" s="20">
        <f t="shared" si="53"/>
        <v>48.036773669225127</v>
      </c>
      <c r="L101" s="20">
        <f t="shared" si="53"/>
        <v>49.958244615994133</v>
      </c>
      <c r="M101" s="20">
        <f t="shared" si="53"/>
        <v>51.956574400633897</v>
      </c>
    </row>
    <row r="102" spans="1:13" x14ac:dyDescent="0.25"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x14ac:dyDescent="0.25">
      <c r="A103" s="4" t="s">
        <v>102</v>
      </c>
      <c r="B103" s="30">
        <v>0.2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x14ac:dyDescent="0.25">
      <c r="A104" s="4" t="s">
        <v>100</v>
      </c>
      <c r="C104" s="9" t="str">
        <f>CUR_NAME</f>
        <v>млн руб.</v>
      </c>
      <c r="D104" s="20">
        <f>D10*$B$103</f>
        <v>0</v>
      </c>
      <c r="E104" s="20">
        <f t="shared" ref="E104:M104" si="54">E10*$B$103</f>
        <v>227.13600000000002</v>
      </c>
      <c r="F104" s="20">
        <f t="shared" si="54"/>
        <v>269.96736000000004</v>
      </c>
      <c r="G104" s="20">
        <f t="shared" si="54"/>
        <v>350.95756800000009</v>
      </c>
      <c r="H104" s="20">
        <f t="shared" si="54"/>
        <v>364.99587072000008</v>
      </c>
      <c r="I104" s="20">
        <f t="shared" si="54"/>
        <v>379.59570554880014</v>
      </c>
      <c r="J104" s="20">
        <f t="shared" si="54"/>
        <v>394.77953377075215</v>
      </c>
      <c r="K104" s="20">
        <f t="shared" si="54"/>
        <v>410.57071512158228</v>
      </c>
      <c r="L104" s="20">
        <f t="shared" si="54"/>
        <v>426.99354372644558</v>
      </c>
      <c r="M104" s="20">
        <f t="shared" si="54"/>
        <v>444.07328547550344</v>
      </c>
    </row>
    <row r="105" spans="1:13" x14ac:dyDescent="0.25">
      <c r="A105" s="4" t="s">
        <v>101</v>
      </c>
      <c r="C105" s="9" t="str">
        <f>CUR_NAME</f>
        <v>млн руб.</v>
      </c>
      <c r="D105" s="20">
        <f>-$B$103*(SUM(D26:D29)-D34)</f>
        <v>0</v>
      </c>
      <c r="E105" s="20">
        <f t="shared" ref="E105:M105" si="55">-$B$103*(SUM(E26:E29)-E34)</f>
        <v>-138.55295999999998</v>
      </c>
      <c r="F105" s="20">
        <f t="shared" si="55"/>
        <v>-164.68008960000003</v>
      </c>
      <c r="G105" s="20">
        <f t="shared" si="55"/>
        <v>-214.08411648000006</v>
      </c>
      <c r="H105" s="20">
        <f t="shared" si="55"/>
        <v>-222.64748113920001</v>
      </c>
      <c r="I105" s="20">
        <f t="shared" si="55"/>
        <v>-231.55338038476805</v>
      </c>
      <c r="J105" s="20">
        <f t="shared" si="55"/>
        <v>-240.81551560015879</v>
      </c>
      <c r="K105" s="20">
        <f t="shared" si="55"/>
        <v>-250.44813622416518</v>
      </c>
      <c r="L105" s="20">
        <f t="shared" si="55"/>
        <v>-260.46606167313178</v>
      </c>
      <c r="M105" s="20">
        <f t="shared" si="55"/>
        <v>-270.88470414005707</v>
      </c>
    </row>
    <row r="106" spans="1:13" x14ac:dyDescent="0.25">
      <c r="A106" s="4" t="s">
        <v>103</v>
      </c>
      <c r="C106" s="9" t="str">
        <f>CUR_NAME</f>
        <v>млн руб.</v>
      </c>
      <c r="D106" s="20">
        <f>-$B$103*SUM(D53:D55)</f>
        <v>-108</v>
      </c>
      <c r="E106" s="20">
        <f t="shared" ref="E106:M106" si="56">-$B$103*SUM(E53:E55)</f>
        <v>-252</v>
      </c>
      <c r="F106" s="20">
        <f t="shared" si="56"/>
        <v>0</v>
      </c>
      <c r="G106" s="20">
        <f t="shared" si="56"/>
        <v>0</v>
      </c>
      <c r="H106" s="20">
        <f t="shared" si="56"/>
        <v>0</v>
      </c>
      <c r="I106" s="20">
        <f t="shared" si="56"/>
        <v>0</v>
      </c>
      <c r="J106" s="20">
        <f t="shared" si="56"/>
        <v>0</v>
      </c>
      <c r="K106" s="20">
        <f t="shared" si="56"/>
        <v>0</v>
      </c>
      <c r="L106" s="20">
        <f t="shared" si="56"/>
        <v>0</v>
      </c>
      <c r="M106" s="20">
        <f t="shared" si="56"/>
        <v>0</v>
      </c>
    </row>
    <row r="107" spans="1:13" x14ac:dyDescent="0.25">
      <c r="A107" s="4" t="s">
        <v>104</v>
      </c>
      <c r="C107" s="9" t="str">
        <f>CUR_NAME</f>
        <v>млн руб.</v>
      </c>
      <c r="D107" s="20">
        <f>SUM(D104:D106)</f>
        <v>-108</v>
      </c>
      <c r="E107" s="20">
        <f t="shared" ref="E107:M107" si="57">SUM(E104:E106)</f>
        <v>-163.41695999999996</v>
      </c>
      <c r="F107" s="20">
        <f t="shared" si="57"/>
        <v>105.28727040000001</v>
      </c>
      <c r="G107" s="20">
        <f t="shared" si="57"/>
        <v>136.87345152000003</v>
      </c>
      <c r="H107" s="20">
        <f t="shared" si="57"/>
        <v>142.34838958080007</v>
      </c>
      <c r="I107" s="20">
        <f t="shared" si="57"/>
        <v>148.04232516403209</v>
      </c>
      <c r="J107" s="20">
        <f t="shared" si="57"/>
        <v>153.96401817059336</v>
      </c>
      <c r="K107" s="20">
        <f t="shared" si="57"/>
        <v>160.1225788974171</v>
      </c>
      <c r="L107" s="20">
        <f t="shared" si="57"/>
        <v>166.5274820533138</v>
      </c>
      <c r="M107" s="20">
        <f t="shared" si="57"/>
        <v>173.18858133544637</v>
      </c>
    </row>
    <row r="109" spans="1:13" s="16" customFormat="1" ht="20.100000000000001" customHeight="1" thickBot="1" x14ac:dyDescent="0.35">
      <c r="A109" s="14" t="s">
        <v>65</v>
      </c>
      <c r="B109" s="14"/>
      <c r="C109" s="14"/>
      <c r="D109" s="15" t="str">
        <f>D$2</f>
        <v>Год 1</v>
      </c>
      <c r="E109" s="15" t="str">
        <f t="shared" si="49"/>
        <v>Год 2</v>
      </c>
      <c r="F109" s="15" t="str">
        <f t="shared" si="49"/>
        <v>Год 3</v>
      </c>
      <c r="G109" s="15" t="str">
        <f t="shared" si="49"/>
        <v>Год 4</v>
      </c>
      <c r="H109" s="15" t="str">
        <f t="shared" si="49"/>
        <v>Год 5</v>
      </c>
      <c r="I109" s="15" t="str">
        <f t="shared" si="49"/>
        <v>Год 6</v>
      </c>
      <c r="J109" s="15" t="str">
        <f t="shared" si="49"/>
        <v>Год 7</v>
      </c>
      <c r="K109" s="15" t="str">
        <f t="shared" si="49"/>
        <v>Год 8</v>
      </c>
      <c r="L109" s="15" t="str">
        <f t="shared" si="49"/>
        <v>Год 9</v>
      </c>
      <c r="M109" s="15" t="str">
        <f t="shared" si="49"/>
        <v>Год 10</v>
      </c>
    </row>
    <row r="111" spans="1:13" x14ac:dyDescent="0.25">
      <c r="A111" s="4" t="s">
        <v>66</v>
      </c>
      <c r="C111" s="9" t="str">
        <f t="shared" ref="C111:C117" si="58">CUR_NAME</f>
        <v>млн руб.</v>
      </c>
      <c r="D111" s="20">
        <f t="shared" ref="D111:M111" si="59">D10</f>
        <v>0</v>
      </c>
      <c r="E111" s="20">
        <f t="shared" si="59"/>
        <v>1135.68</v>
      </c>
      <c r="F111" s="20">
        <f t="shared" si="59"/>
        <v>1349.8368</v>
      </c>
      <c r="G111" s="20">
        <f t="shared" si="59"/>
        <v>1754.7878400000004</v>
      </c>
      <c r="H111" s="20">
        <f t="shared" si="59"/>
        <v>1824.9793536000004</v>
      </c>
      <c r="I111" s="20">
        <f t="shared" si="59"/>
        <v>1897.9785277440005</v>
      </c>
      <c r="J111" s="20">
        <f t="shared" si="59"/>
        <v>1973.8976688537607</v>
      </c>
      <c r="K111" s="20">
        <f t="shared" si="59"/>
        <v>2052.8535756079114</v>
      </c>
      <c r="L111" s="20">
        <f t="shared" si="59"/>
        <v>2134.9677186322278</v>
      </c>
      <c r="M111" s="20">
        <f t="shared" si="59"/>
        <v>2220.3664273775171</v>
      </c>
    </row>
    <row r="112" spans="1:13" x14ac:dyDescent="0.25">
      <c r="A112" s="4" t="s">
        <v>16</v>
      </c>
      <c r="C112" s="9" t="str">
        <f t="shared" si="58"/>
        <v>млн руб.</v>
      </c>
      <c r="D112" s="20">
        <f t="shared" ref="D112:M112" si="60">-D26</f>
        <v>0</v>
      </c>
      <c r="E112" s="20">
        <f t="shared" si="60"/>
        <v>-794.976</v>
      </c>
      <c r="F112" s="20">
        <f t="shared" si="60"/>
        <v>-944.88576</v>
      </c>
      <c r="G112" s="20">
        <f t="shared" si="60"/>
        <v>-1228.3514880000002</v>
      </c>
      <c r="H112" s="20">
        <f t="shared" si="60"/>
        <v>-1277.4855475200002</v>
      </c>
      <c r="I112" s="20">
        <f t="shared" si="60"/>
        <v>-1328.5849694208002</v>
      </c>
      <c r="J112" s="20">
        <f t="shared" si="60"/>
        <v>-1381.7283681976323</v>
      </c>
      <c r="K112" s="20">
        <f t="shared" si="60"/>
        <v>-1436.9975029255379</v>
      </c>
      <c r="L112" s="20">
        <f t="shared" si="60"/>
        <v>-1494.4774030425594</v>
      </c>
      <c r="M112" s="20">
        <f t="shared" si="60"/>
        <v>-1554.2564991642619</v>
      </c>
    </row>
    <row r="113" spans="1:13" x14ac:dyDescent="0.25">
      <c r="A113" s="4" t="s">
        <v>17</v>
      </c>
      <c r="C113" s="9" t="str">
        <f t="shared" si="58"/>
        <v>млн руб.</v>
      </c>
      <c r="D113" s="20">
        <f>-D27</f>
        <v>0</v>
      </c>
      <c r="E113" s="20">
        <f t="shared" ref="E113:M113" si="61">-E27</f>
        <v>-45.427200000000006</v>
      </c>
      <c r="F113" s="20">
        <f t="shared" si="61"/>
        <v>-53.993472000000004</v>
      </c>
      <c r="G113" s="20">
        <f t="shared" si="61"/>
        <v>-70.191513600000022</v>
      </c>
      <c r="H113" s="20">
        <f t="shared" si="61"/>
        <v>-72.999174144000023</v>
      </c>
      <c r="I113" s="20">
        <f t="shared" si="61"/>
        <v>-75.91914110976002</v>
      </c>
      <c r="J113" s="20">
        <f t="shared" si="61"/>
        <v>-78.955906754150433</v>
      </c>
      <c r="K113" s="20">
        <f t="shared" si="61"/>
        <v>-82.114143024316462</v>
      </c>
      <c r="L113" s="20">
        <f t="shared" si="61"/>
        <v>-85.398708745289113</v>
      </c>
      <c r="M113" s="20">
        <f t="shared" si="61"/>
        <v>-88.814657095100685</v>
      </c>
    </row>
    <row r="114" spans="1:13" x14ac:dyDescent="0.25">
      <c r="A114" s="4" t="s">
        <v>18</v>
      </c>
      <c r="C114" s="9" t="str">
        <f t="shared" si="58"/>
        <v>млн руб.</v>
      </c>
      <c r="D114" s="20">
        <f>-D28</f>
        <v>0</v>
      </c>
      <c r="E114" s="20">
        <f t="shared" ref="E114:M114" si="62">-E28</f>
        <v>-22.713600000000003</v>
      </c>
      <c r="F114" s="20">
        <f t="shared" si="62"/>
        <v>-26.996736000000002</v>
      </c>
      <c r="G114" s="20">
        <f t="shared" si="62"/>
        <v>-35.095756800000011</v>
      </c>
      <c r="H114" s="20">
        <f t="shared" si="62"/>
        <v>-36.499587072000011</v>
      </c>
      <c r="I114" s="20">
        <f t="shared" si="62"/>
        <v>-37.95957055488001</v>
      </c>
      <c r="J114" s="20">
        <f t="shared" si="62"/>
        <v>-39.477953377075217</v>
      </c>
      <c r="K114" s="20">
        <f t="shared" si="62"/>
        <v>-41.057071512158231</v>
      </c>
      <c r="L114" s="20">
        <f t="shared" si="62"/>
        <v>-42.699354372644557</v>
      </c>
      <c r="M114" s="20">
        <f t="shared" si="62"/>
        <v>-44.407328547550343</v>
      </c>
    </row>
    <row r="115" spans="1:13" x14ac:dyDescent="0.25">
      <c r="A115" s="4" t="s">
        <v>19</v>
      </c>
      <c r="C115" s="9" t="str">
        <f t="shared" si="58"/>
        <v>млн руб.</v>
      </c>
      <c r="D115" s="20">
        <f>-D29</f>
        <v>0</v>
      </c>
      <c r="E115" s="20">
        <f t="shared" ref="E115:M115" si="63">-E29</f>
        <v>-34.070399999999999</v>
      </c>
      <c r="F115" s="20">
        <f t="shared" si="63"/>
        <v>-40.495103999999998</v>
      </c>
      <c r="G115" s="20">
        <f t="shared" si="63"/>
        <v>-52.643635200000013</v>
      </c>
      <c r="H115" s="20">
        <f t="shared" si="63"/>
        <v>-54.74938060800001</v>
      </c>
      <c r="I115" s="20">
        <f t="shared" si="63"/>
        <v>-56.939355832320011</v>
      </c>
      <c r="J115" s="20">
        <f t="shared" si="63"/>
        <v>-59.216930065612821</v>
      </c>
      <c r="K115" s="20">
        <f t="shared" si="63"/>
        <v>-61.585607268237339</v>
      </c>
      <c r="L115" s="20">
        <f t="shared" si="63"/>
        <v>-64.049031558966831</v>
      </c>
      <c r="M115" s="20">
        <f t="shared" si="63"/>
        <v>-66.61099282132551</v>
      </c>
    </row>
    <row r="116" spans="1:13" x14ac:dyDescent="0.25">
      <c r="A116" s="4" t="s">
        <v>67</v>
      </c>
      <c r="C116" s="9" t="str">
        <f t="shared" si="58"/>
        <v>млн руб.</v>
      </c>
      <c r="D116" s="20">
        <f t="shared" ref="D116:M116" si="64">-D99</f>
        <v>-4.1580000000000004</v>
      </c>
      <c r="E116" s="20">
        <f t="shared" si="64"/>
        <v>-13.860000000000001</v>
      </c>
      <c r="F116" s="20">
        <f t="shared" si="64"/>
        <v>-13.167000000000002</v>
      </c>
      <c r="G116" s="20">
        <f t="shared" si="64"/>
        <v>-12.474000000000002</v>
      </c>
      <c r="H116" s="20">
        <f t="shared" si="64"/>
        <v>-11.781000000000002</v>
      </c>
      <c r="I116" s="20">
        <f t="shared" si="64"/>
        <v>-11.088000000000003</v>
      </c>
      <c r="J116" s="20">
        <f t="shared" si="64"/>
        <v>-10.395000000000001</v>
      </c>
      <c r="K116" s="20">
        <f t="shared" si="64"/>
        <v>-9.7020000000000017</v>
      </c>
      <c r="L116" s="20">
        <f t="shared" si="64"/>
        <v>-9.0090000000000021</v>
      </c>
      <c r="M116" s="20">
        <f t="shared" si="64"/>
        <v>-8.3160000000000025</v>
      </c>
    </row>
    <row r="117" spans="1:13" x14ac:dyDescent="0.25">
      <c r="A117" s="28" t="s">
        <v>68</v>
      </c>
      <c r="C117" s="9" t="str">
        <f t="shared" si="58"/>
        <v>млн руб.</v>
      </c>
      <c r="D117" s="13">
        <f>SUM(D111:D116)</f>
        <v>-4.1580000000000004</v>
      </c>
      <c r="E117" s="13">
        <f t="shared" ref="E117:M117" si="65">SUM(E111:E116)</f>
        <v>224.63280000000003</v>
      </c>
      <c r="F117" s="13">
        <f t="shared" si="65"/>
        <v>270.29872799999998</v>
      </c>
      <c r="G117" s="13">
        <f t="shared" si="65"/>
        <v>356.03144640000016</v>
      </c>
      <c r="H117" s="13">
        <f t="shared" si="65"/>
        <v>371.46466425600022</v>
      </c>
      <c r="I117" s="13">
        <f t="shared" si="65"/>
        <v>387.48749082624022</v>
      </c>
      <c r="J117" s="13">
        <f t="shared" si="65"/>
        <v>404.12351045928995</v>
      </c>
      <c r="K117" s="13">
        <f t="shared" si="65"/>
        <v>421.39725087766135</v>
      </c>
      <c r="L117" s="13">
        <f t="shared" si="65"/>
        <v>439.33422091276793</v>
      </c>
      <c r="M117" s="13">
        <f t="shared" si="65"/>
        <v>457.96094974927871</v>
      </c>
    </row>
    <row r="118" spans="1:13" x14ac:dyDescent="0.25">
      <c r="C118" s="9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x14ac:dyDescent="0.25">
      <c r="A119" s="4" t="s">
        <v>69</v>
      </c>
      <c r="C119" s="9" t="str">
        <f>CUR_NAME</f>
        <v>млн руб.</v>
      </c>
      <c r="D119" s="20">
        <f t="shared" ref="D119:M119" si="66">-SUM(D64:D66)</f>
        <v>0</v>
      </c>
      <c r="E119" s="20">
        <f t="shared" si="66"/>
        <v>0</v>
      </c>
      <c r="F119" s="20">
        <f t="shared" si="66"/>
        <v>-94.5</v>
      </c>
      <c r="G119" s="20">
        <f t="shared" si="66"/>
        <v>-94.5</v>
      </c>
      <c r="H119" s="20">
        <f t="shared" si="66"/>
        <v>-94.5</v>
      </c>
      <c r="I119" s="20">
        <f t="shared" si="66"/>
        <v>-94.5</v>
      </c>
      <c r="J119" s="20">
        <f t="shared" si="66"/>
        <v>-94.5</v>
      </c>
      <c r="K119" s="20">
        <f t="shared" si="66"/>
        <v>-94.5</v>
      </c>
      <c r="L119" s="20">
        <f t="shared" si="66"/>
        <v>-94.5</v>
      </c>
      <c r="M119" s="20">
        <f t="shared" si="66"/>
        <v>-94.5</v>
      </c>
    </row>
    <row r="120" spans="1:13" x14ac:dyDescent="0.25">
      <c r="A120" s="4" t="s">
        <v>70</v>
      </c>
      <c r="C120" s="9" t="str">
        <f>CUR_NAME</f>
        <v>млн руб.</v>
      </c>
      <c r="D120" s="20">
        <f t="shared" ref="D120:M120" ca="1" si="67">-D93</f>
        <v>-22.955684210526346</v>
      </c>
      <c r="E120" s="20">
        <f t="shared" ca="1" si="67"/>
        <v>-70.12706685852929</v>
      </c>
      <c r="F120" s="20">
        <f t="shared" ca="1" si="67"/>
        <v>-70.12706685852929</v>
      </c>
      <c r="G120" s="20">
        <f t="shared" ca="1" si="67"/>
        <v>-65.621305821850953</v>
      </c>
      <c r="H120" s="20">
        <f t="shared" ca="1" si="67"/>
        <v>-58.895451288852627</v>
      </c>
      <c r="I120" s="20">
        <f t="shared" ca="1" si="67"/>
        <v>-51.008015889565733</v>
      </c>
      <c r="J120" s="20">
        <f t="shared" ca="1" si="67"/>
        <v>-42.355362358104244</v>
      </c>
      <c r="K120" s="20">
        <f t="shared" ca="1" si="67"/>
        <v>-32.888133271480037</v>
      </c>
      <c r="L120" s="20">
        <f t="shared" ca="1" si="67"/>
        <v>-22.554184466209993</v>
      </c>
      <c r="M120" s="20">
        <f t="shared" ca="1" si="67"/>
        <v>-11.298438362743479</v>
      </c>
    </row>
    <row r="121" spans="1:13" x14ac:dyDescent="0.25">
      <c r="A121" s="4" t="s">
        <v>71</v>
      </c>
      <c r="C121" s="9" t="str">
        <f>CUR_NAME</f>
        <v>млн руб.</v>
      </c>
      <c r="D121" s="20">
        <f ca="1">SUM(D117:D120)</f>
        <v>-27.113684210526348</v>
      </c>
      <c r="E121" s="20">
        <f t="shared" ref="E121:M121" ca="1" si="68">SUM(E117:E120)</f>
        <v>154.50573314147073</v>
      </c>
      <c r="F121" s="20">
        <f t="shared" ca="1" si="68"/>
        <v>105.67166114147069</v>
      </c>
      <c r="G121" s="20">
        <f t="shared" ca="1" si="68"/>
        <v>195.9101405781492</v>
      </c>
      <c r="H121" s="20">
        <f t="shared" ca="1" si="68"/>
        <v>218.06921296714759</v>
      </c>
      <c r="I121" s="20">
        <f t="shared" ca="1" si="68"/>
        <v>241.97947493667448</v>
      </c>
      <c r="J121" s="20">
        <f t="shared" ca="1" si="68"/>
        <v>267.26814810118572</v>
      </c>
      <c r="K121" s="20">
        <f t="shared" ca="1" si="68"/>
        <v>294.00911760618129</v>
      </c>
      <c r="L121" s="20">
        <f t="shared" ca="1" si="68"/>
        <v>322.28003644655792</v>
      </c>
      <c r="M121" s="20">
        <f t="shared" ca="1" si="68"/>
        <v>352.16251138653524</v>
      </c>
    </row>
    <row r="122" spans="1:13" x14ac:dyDescent="0.25">
      <c r="A122" s="4" t="s">
        <v>72</v>
      </c>
      <c r="C122" s="9" t="str">
        <f>CUR_NAME</f>
        <v>млн руб.</v>
      </c>
      <c r="D122" s="20">
        <f t="shared" ref="D122:M122" ca="1" si="69">-D98</f>
        <v>0</v>
      </c>
      <c r="E122" s="20">
        <f t="shared" ca="1" si="69"/>
        <v>-30.901146628294146</v>
      </c>
      <c r="F122" s="20">
        <f t="shared" ca="1" si="69"/>
        <v>-21.134332228294141</v>
      </c>
      <c r="G122" s="20">
        <f t="shared" ca="1" si="69"/>
        <v>-39.182028115629841</v>
      </c>
      <c r="H122" s="20">
        <f t="shared" ca="1" si="69"/>
        <v>-43.613842593429524</v>
      </c>
      <c r="I122" s="20">
        <f t="shared" ca="1" si="69"/>
        <v>-48.395894987334906</v>
      </c>
      <c r="J122" s="20">
        <f t="shared" ca="1" si="69"/>
        <v>-53.45362962023701</v>
      </c>
      <c r="K122" s="20">
        <f t="shared" ca="1" si="69"/>
        <v>-58.801823521236599</v>
      </c>
      <c r="L122" s="20">
        <f t="shared" ca="1" si="69"/>
        <v>-64.456007289327076</v>
      </c>
      <c r="M122" s="20">
        <f t="shared" ca="1" si="69"/>
        <v>-70.432502277136038</v>
      </c>
    </row>
    <row r="123" spans="1:13" x14ac:dyDescent="0.25">
      <c r="A123" s="28" t="s">
        <v>73</v>
      </c>
      <c r="C123" s="9" t="str">
        <f>CUR_NAME</f>
        <v>млн руб.</v>
      </c>
      <c r="D123" s="13">
        <f ca="1">SUM(D121:D122)</f>
        <v>-27.113684210526348</v>
      </c>
      <c r="E123" s="13">
        <f t="shared" ref="E123:M123" ca="1" si="70">SUM(E121:E122)</f>
        <v>123.60458651317659</v>
      </c>
      <c r="F123" s="13">
        <f t="shared" ca="1" si="70"/>
        <v>84.537328913176552</v>
      </c>
      <c r="G123" s="13">
        <f t="shared" ca="1" si="70"/>
        <v>156.72811246251936</v>
      </c>
      <c r="H123" s="13">
        <f t="shared" ca="1" si="70"/>
        <v>174.45537037371807</v>
      </c>
      <c r="I123" s="13">
        <f t="shared" ca="1" si="70"/>
        <v>193.58357994933957</v>
      </c>
      <c r="J123" s="13">
        <f t="shared" ca="1" si="70"/>
        <v>213.81451848094872</v>
      </c>
      <c r="K123" s="13">
        <f t="shared" ca="1" si="70"/>
        <v>235.20729408494469</v>
      </c>
      <c r="L123" s="13">
        <f t="shared" ca="1" si="70"/>
        <v>257.82402915723083</v>
      </c>
      <c r="M123" s="13">
        <f t="shared" ca="1" si="70"/>
        <v>281.73000910939919</v>
      </c>
    </row>
    <row r="125" spans="1:13" s="16" customFormat="1" ht="20.100000000000001" customHeight="1" thickBot="1" x14ac:dyDescent="0.35">
      <c r="A125" s="14" t="s">
        <v>74</v>
      </c>
      <c r="B125" s="14"/>
      <c r="C125" s="14"/>
      <c r="D125" s="15" t="str">
        <f>D$2</f>
        <v>Год 1</v>
      </c>
      <c r="E125" s="15" t="str">
        <f t="shared" ref="E125:M125" si="71">E$2</f>
        <v>Год 2</v>
      </c>
      <c r="F125" s="15" t="str">
        <f t="shared" si="71"/>
        <v>Год 3</v>
      </c>
      <c r="G125" s="15" t="str">
        <f t="shared" si="71"/>
        <v>Год 4</v>
      </c>
      <c r="H125" s="15" t="str">
        <f t="shared" si="71"/>
        <v>Год 5</v>
      </c>
      <c r="I125" s="15" t="str">
        <f t="shared" si="71"/>
        <v>Год 6</v>
      </c>
      <c r="J125" s="15" t="str">
        <f t="shared" si="71"/>
        <v>Год 7</v>
      </c>
      <c r="K125" s="15" t="str">
        <f t="shared" si="71"/>
        <v>Год 8</v>
      </c>
      <c r="L125" s="15" t="str">
        <f t="shared" si="71"/>
        <v>Год 9</v>
      </c>
      <c r="M125" s="15" t="str">
        <f t="shared" si="71"/>
        <v>Год 10</v>
      </c>
    </row>
    <row r="127" spans="1:13" x14ac:dyDescent="0.25">
      <c r="A127" s="4" t="s">
        <v>73</v>
      </c>
      <c r="C127" s="9" t="str">
        <f>CUR_NAME</f>
        <v>млн руб.</v>
      </c>
      <c r="D127" s="20">
        <f ca="1">D123</f>
        <v>-27.113684210526348</v>
      </c>
      <c r="E127" s="20">
        <f t="shared" ref="E127:M127" ca="1" si="72">E123</f>
        <v>123.60458651317659</v>
      </c>
      <c r="F127" s="20">
        <f t="shared" ca="1" si="72"/>
        <v>84.537328913176552</v>
      </c>
      <c r="G127" s="20">
        <f t="shared" ca="1" si="72"/>
        <v>156.72811246251936</v>
      </c>
      <c r="H127" s="20">
        <f t="shared" ca="1" si="72"/>
        <v>174.45537037371807</v>
      </c>
      <c r="I127" s="20">
        <f t="shared" ca="1" si="72"/>
        <v>193.58357994933957</v>
      </c>
      <c r="J127" s="20">
        <f t="shared" ca="1" si="72"/>
        <v>213.81451848094872</v>
      </c>
      <c r="K127" s="20">
        <f t="shared" ca="1" si="72"/>
        <v>235.20729408494469</v>
      </c>
      <c r="L127" s="20">
        <f t="shared" ca="1" si="72"/>
        <v>257.82402915723083</v>
      </c>
      <c r="M127" s="20">
        <f t="shared" ca="1" si="72"/>
        <v>281.73000910939919</v>
      </c>
    </row>
    <row r="128" spans="1:13" x14ac:dyDescent="0.25">
      <c r="A128" s="4" t="s">
        <v>69</v>
      </c>
      <c r="C128" s="9" t="str">
        <f>CUR_NAME</f>
        <v>млн руб.</v>
      </c>
      <c r="D128" s="20">
        <f>-D119</f>
        <v>0</v>
      </c>
      <c r="E128" s="20">
        <f t="shared" ref="E128:M128" si="73">-E119</f>
        <v>0</v>
      </c>
      <c r="F128" s="20">
        <f t="shared" si="73"/>
        <v>94.5</v>
      </c>
      <c r="G128" s="20">
        <f t="shared" si="73"/>
        <v>94.5</v>
      </c>
      <c r="H128" s="20">
        <f t="shared" si="73"/>
        <v>94.5</v>
      </c>
      <c r="I128" s="20">
        <f t="shared" si="73"/>
        <v>94.5</v>
      </c>
      <c r="J128" s="20">
        <f t="shared" si="73"/>
        <v>94.5</v>
      </c>
      <c r="K128" s="20">
        <f t="shared" si="73"/>
        <v>94.5</v>
      </c>
      <c r="L128" s="20">
        <f t="shared" si="73"/>
        <v>94.5</v>
      </c>
      <c r="M128" s="20">
        <f t="shared" si="73"/>
        <v>94.5</v>
      </c>
    </row>
    <row r="129" spans="1:13" x14ac:dyDescent="0.25">
      <c r="A129" s="4" t="s">
        <v>37</v>
      </c>
      <c r="C129" s="9" t="str">
        <f>CUR_NAME</f>
        <v>млн руб.</v>
      </c>
      <c r="D129" s="20">
        <f t="shared" ref="D129:M129" si="74">-D45</f>
        <v>0</v>
      </c>
      <c r="E129" s="20">
        <f t="shared" si="74"/>
        <v>-46.6717808219178</v>
      </c>
      <c r="F129" s="20">
        <f t="shared" si="74"/>
        <v>-8.8009643835616416</v>
      </c>
      <c r="G129" s="20">
        <f t="shared" si="74"/>
        <v>-16.641823561643861</v>
      </c>
      <c r="H129" s="20">
        <f t="shared" si="74"/>
        <v>-2.8845827506849417</v>
      </c>
      <c r="I129" s="20">
        <f t="shared" si="74"/>
        <v>-2.9999660607123246</v>
      </c>
      <c r="J129" s="20">
        <f t="shared" si="74"/>
        <v>-3.1199647031408091</v>
      </c>
      <c r="K129" s="20">
        <f t="shared" si="74"/>
        <v>-3.2447632912665085</v>
      </c>
      <c r="L129" s="20">
        <f t="shared" si="74"/>
        <v>-3.3745538229170791</v>
      </c>
      <c r="M129" s="20">
        <f t="shared" si="74"/>
        <v>-3.5095359758338276</v>
      </c>
    </row>
    <row r="130" spans="1:13" x14ac:dyDescent="0.25">
      <c r="A130" s="28" t="s">
        <v>79</v>
      </c>
      <c r="C130" s="9" t="str">
        <f>CUR_NAME</f>
        <v>млн руб.</v>
      </c>
      <c r="D130" s="13">
        <f ca="1">SUM(D127:D129)</f>
        <v>-27.113684210526348</v>
      </c>
      <c r="E130" s="13">
        <f t="shared" ref="E130:M130" ca="1" si="75">SUM(E127:E129)</f>
        <v>76.932805691258778</v>
      </c>
      <c r="F130" s="13">
        <f t="shared" ca="1" si="75"/>
        <v>170.23636452961492</v>
      </c>
      <c r="G130" s="13">
        <f t="shared" ca="1" si="75"/>
        <v>234.5862889008755</v>
      </c>
      <c r="H130" s="13">
        <f t="shared" ca="1" si="75"/>
        <v>266.07078762303314</v>
      </c>
      <c r="I130" s="13">
        <f t="shared" ca="1" si="75"/>
        <v>285.08361388862721</v>
      </c>
      <c r="J130" s="13">
        <f t="shared" ca="1" si="75"/>
        <v>305.19455377780793</v>
      </c>
      <c r="K130" s="13">
        <f t="shared" ca="1" si="75"/>
        <v>326.46253079367818</v>
      </c>
      <c r="L130" s="13">
        <f t="shared" ca="1" si="75"/>
        <v>348.94947533431377</v>
      </c>
      <c r="M130" s="13">
        <f t="shared" ca="1" si="75"/>
        <v>372.72047313356535</v>
      </c>
    </row>
    <row r="131" spans="1:13" x14ac:dyDescent="0.25">
      <c r="C131" s="9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13" x14ac:dyDescent="0.25">
      <c r="A132" s="4" t="s">
        <v>42</v>
      </c>
      <c r="C132" s="9" t="str">
        <f>CUR_NAME</f>
        <v>млн руб.</v>
      </c>
      <c r="D132" s="20">
        <f t="shared" ref="D132:M132" si="76">-D53</f>
        <v>-189.00000000000003</v>
      </c>
      <c r="E132" s="20">
        <f t="shared" si="76"/>
        <v>-441.00000000000006</v>
      </c>
      <c r="F132" s="20">
        <f t="shared" si="76"/>
        <v>0</v>
      </c>
      <c r="G132" s="20">
        <f t="shared" si="76"/>
        <v>0</v>
      </c>
      <c r="H132" s="20">
        <f t="shared" si="76"/>
        <v>0</v>
      </c>
      <c r="I132" s="20">
        <f t="shared" si="76"/>
        <v>0</v>
      </c>
      <c r="J132" s="20">
        <f t="shared" si="76"/>
        <v>0</v>
      </c>
      <c r="K132" s="20">
        <f t="shared" si="76"/>
        <v>0</v>
      </c>
      <c r="L132" s="20">
        <f t="shared" si="76"/>
        <v>0</v>
      </c>
      <c r="M132" s="20">
        <f t="shared" si="76"/>
        <v>0</v>
      </c>
    </row>
    <row r="133" spans="1:13" x14ac:dyDescent="0.25">
      <c r="A133" s="4" t="s">
        <v>43</v>
      </c>
      <c r="C133" s="9" t="str">
        <f>CUR_NAME</f>
        <v>млн руб.</v>
      </c>
      <c r="D133" s="20">
        <f>-D54</f>
        <v>-324</v>
      </c>
      <c r="E133" s="20">
        <f t="shared" ref="E133:M133" si="77">-E54</f>
        <v>-756</v>
      </c>
      <c r="F133" s="20">
        <f t="shared" si="77"/>
        <v>0</v>
      </c>
      <c r="G133" s="20">
        <f t="shared" si="77"/>
        <v>0</v>
      </c>
      <c r="H133" s="20">
        <f t="shared" si="77"/>
        <v>0</v>
      </c>
      <c r="I133" s="20">
        <f t="shared" si="77"/>
        <v>0</v>
      </c>
      <c r="J133" s="20">
        <f t="shared" si="77"/>
        <v>0</v>
      </c>
      <c r="K133" s="20">
        <f t="shared" si="77"/>
        <v>0</v>
      </c>
      <c r="L133" s="20">
        <f t="shared" si="77"/>
        <v>0</v>
      </c>
      <c r="M133" s="20">
        <f t="shared" si="77"/>
        <v>0</v>
      </c>
    </row>
    <row r="134" spans="1:13" x14ac:dyDescent="0.25">
      <c r="A134" s="4" t="s">
        <v>44</v>
      </c>
      <c r="C134" s="9" t="str">
        <f>CUR_NAME</f>
        <v>млн руб.</v>
      </c>
      <c r="D134" s="20">
        <f>-D55</f>
        <v>-27</v>
      </c>
      <c r="E134" s="20">
        <f t="shared" ref="E134:M134" si="78">-E55</f>
        <v>-63</v>
      </c>
      <c r="F134" s="20">
        <f t="shared" si="78"/>
        <v>0</v>
      </c>
      <c r="G134" s="20">
        <f t="shared" si="78"/>
        <v>0</v>
      </c>
      <c r="H134" s="20">
        <f t="shared" si="78"/>
        <v>0</v>
      </c>
      <c r="I134" s="20">
        <f t="shared" si="78"/>
        <v>0</v>
      </c>
      <c r="J134" s="20">
        <f t="shared" si="78"/>
        <v>0</v>
      </c>
      <c r="K134" s="20">
        <f t="shared" si="78"/>
        <v>0</v>
      </c>
      <c r="L134" s="20">
        <f t="shared" si="78"/>
        <v>0</v>
      </c>
      <c r="M134" s="20">
        <f t="shared" si="78"/>
        <v>0</v>
      </c>
    </row>
    <row r="135" spans="1:13" x14ac:dyDescent="0.25">
      <c r="A135" s="28" t="s">
        <v>80</v>
      </c>
      <c r="C135" s="9" t="str">
        <f>CUR_NAME</f>
        <v>млн руб.</v>
      </c>
      <c r="D135" s="13">
        <f>SUM(D132:D134)</f>
        <v>-540</v>
      </c>
      <c r="E135" s="13">
        <f t="shared" ref="E135:M135" si="79">SUM(E132:E134)</f>
        <v>-1260</v>
      </c>
      <c r="F135" s="13">
        <f t="shared" si="79"/>
        <v>0</v>
      </c>
      <c r="G135" s="13">
        <f t="shared" si="79"/>
        <v>0</v>
      </c>
      <c r="H135" s="13">
        <f t="shared" si="79"/>
        <v>0</v>
      </c>
      <c r="I135" s="13">
        <f t="shared" si="79"/>
        <v>0</v>
      </c>
      <c r="J135" s="13">
        <f t="shared" si="79"/>
        <v>0</v>
      </c>
      <c r="K135" s="13">
        <f t="shared" si="79"/>
        <v>0</v>
      </c>
      <c r="L135" s="13">
        <f t="shared" si="79"/>
        <v>0</v>
      </c>
      <c r="M135" s="13">
        <f t="shared" si="79"/>
        <v>0</v>
      </c>
    </row>
    <row r="136" spans="1:13" x14ac:dyDescent="0.25">
      <c r="C136" s="9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1:13" x14ac:dyDescent="0.25">
      <c r="A137" s="4" t="s">
        <v>75</v>
      </c>
      <c r="C137" s="9" t="str">
        <f>CUR_NAME</f>
        <v>млн руб.</v>
      </c>
      <c r="D137" s="20">
        <f t="shared" ref="D137:M137" si="80">D83</f>
        <v>108</v>
      </c>
      <c r="E137" s="20">
        <f t="shared" si="80"/>
        <v>252</v>
      </c>
      <c r="F137" s="20">
        <f t="shared" si="80"/>
        <v>0</v>
      </c>
      <c r="G137" s="20">
        <f t="shared" si="80"/>
        <v>0</v>
      </c>
      <c r="H137" s="20">
        <f t="shared" si="80"/>
        <v>0</v>
      </c>
      <c r="I137" s="20">
        <f t="shared" si="80"/>
        <v>0</v>
      </c>
      <c r="J137" s="20">
        <f t="shared" si="80"/>
        <v>0</v>
      </c>
      <c r="K137" s="20">
        <f t="shared" si="80"/>
        <v>0</v>
      </c>
      <c r="L137" s="20">
        <f t="shared" si="80"/>
        <v>0</v>
      </c>
      <c r="M137" s="20">
        <f t="shared" si="80"/>
        <v>0</v>
      </c>
    </row>
    <row r="138" spans="1:13" x14ac:dyDescent="0.25">
      <c r="A138" s="4" t="s">
        <v>76</v>
      </c>
      <c r="C138" s="9" t="str">
        <f>CUR_NAME</f>
        <v>млн руб.</v>
      </c>
      <c r="D138" s="20">
        <f t="shared" ref="D138:M138" ca="1" si="81">D88</f>
        <v>459.11368421052691</v>
      </c>
      <c r="E138" s="20">
        <f t="shared" ca="1" si="81"/>
        <v>943.42765296005905</v>
      </c>
      <c r="F138" s="20">
        <f t="shared" si="81"/>
        <v>0</v>
      </c>
      <c r="G138" s="20">
        <f t="shared" si="81"/>
        <v>0</v>
      </c>
      <c r="H138" s="20">
        <f t="shared" si="81"/>
        <v>0</v>
      </c>
      <c r="I138" s="20">
        <f t="shared" si="81"/>
        <v>0</v>
      </c>
      <c r="J138" s="20">
        <f t="shared" si="81"/>
        <v>0</v>
      </c>
      <c r="K138" s="20">
        <f t="shared" si="81"/>
        <v>0</v>
      </c>
      <c r="L138" s="20">
        <f t="shared" si="81"/>
        <v>0</v>
      </c>
      <c r="M138" s="20">
        <f t="shared" si="81"/>
        <v>0</v>
      </c>
    </row>
    <row r="139" spans="1:13" x14ac:dyDescent="0.25">
      <c r="A139" s="4" t="s">
        <v>77</v>
      </c>
      <c r="C139" s="9" t="str">
        <f>CUR_NAME</f>
        <v>млн руб.</v>
      </c>
      <c r="D139" s="20">
        <f t="shared" ref="D139:M139" si="82">-D89</f>
        <v>0</v>
      </c>
      <c r="E139" s="20">
        <f t="shared" si="82"/>
        <v>0</v>
      </c>
      <c r="F139" s="20">
        <f t="shared" ca="1" si="82"/>
        <v>-90.115220733566829</v>
      </c>
      <c r="G139" s="20">
        <f t="shared" ca="1" si="82"/>
        <v>-134.5170906599667</v>
      </c>
      <c r="H139" s="20">
        <f t="shared" ca="1" si="82"/>
        <v>-157.74870798573787</v>
      </c>
      <c r="I139" s="20">
        <f t="shared" ca="1" si="82"/>
        <v>-173.05307062922967</v>
      </c>
      <c r="J139" s="20">
        <f t="shared" ca="1" si="82"/>
        <v>-189.34458173250326</v>
      </c>
      <c r="K139" s="20">
        <f t="shared" ca="1" si="82"/>
        <v>-206.67897610528573</v>
      </c>
      <c r="L139" s="20">
        <f t="shared" ca="1" si="82"/>
        <v>-225.11492206760698</v>
      </c>
      <c r="M139" s="20">
        <f t="shared" ca="1" si="82"/>
        <v>-225.96876727197096</v>
      </c>
    </row>
    <row r="140" spans="1:13" x14ac:dyDescent="0.25">
      <c r="A140" s="4" t="s">
        <v>55</v>
      </c>
      <c r="C140" s="9" t="str">
        <f>CUR_NAME</f>
        <v>млн руб.</v>
      </c>
      <c r="D140" s="20">
        <f t="shared" ref="D140:M140" ca="1" si="83">-D86</f>
        <v>0</v>
      </c>
      <c r="E140" s="20">
        <f t="shared" ca="1" si="83"/>
        <v>-12.360458651317659</v>
      </c>
      <c r="F140" s="20">
        <f t="shared" ca="1" si="83"/>
        <v>-8.4537328913176548</v>
      </c>
      <c r="G140" s="20">
        <f t="shared" ca="1" si="83"/>
        <v>-15.672811246251937</v>
      </c>
      <c r="H140" s="20">
        <f t="shared" ca="1" si="83"/>
        <v>-17.445537037371807</v>
      </c>
      <c r="I140" s="20">
        <f t="shared" ca="1" si="83"/>
        <v>-19.358357994933968</v>
      </c>
      <c r="J140" s="20">
        <f t="shared" ca="1" si="83"/>
        <v>-21.381451848094812</v>
      </c>
      <c r="K140" s="20">
        <f t="shared" ca="1" si="83"/>
        <v>-23.52072940849343</v>
      </c>
      <c r="L140" s="20">
        <f t="shared" ca="1" si="83"/>
        <v>-25.782402915739386</v>
      </c>
      <c r="M140" s="20">
        <f t="shared" ca="1" si="83"/>
        <v>-28.17300091094906</v>
      </c>
    </row>
    <row r="141" spans="1:13" x14ac:dyDescent="0.25">
      <c r="A141" s="28" t="s">
        <v>81</v>
      </c>
      <c r="C141" s="9" t="str">
        <f>CUR_NAME</f>
        <v>млн руб.</v>
      </c>
      <c r="D141" s="13">
        <f ca="1">SUM(D137:D140)</f>
        <v>567.11368421052691</v>
      </c>
      <c r="E141" s="13">
        <f t="shared" ref="E141:M141" ca="1" si="84">SUM(E137:E140)</f>
        <v>1183.0671943087414</v>
      </c>
      <c r="F141" s="13">
        <f t="shared" ca="1" si="84"/>
        <v>-98.568953624884486</v>
      </c>
      <c r="G141" s="13">
        <f t="shared" ca="1" si="84"/>
        <v>-150.18990190621864</v>
      </c>
      <c r="H141" s="13">
        <f t="shared" ca="1" si="84"/>
        <v>-175.19424502310966</v>
      </c>
      <c r="I141" s="13">
        <f t="shared" ca="1" si="84"/>
        <v>-192.41142862416365</v>
      </c>
      <c r="J141" s="13">
        <f t="shared" ca="1" si="84"/>
        <v>-210.72603358059808</v>
      </c>
      <c r="K141" s="13">
        <f t="shared" ca="1" si="84"/>
        <v>-230.19970551377915</v>
      </c>
      <c r="L141" s="13">
        <f t="shared" ca="1" si="84"/>
        <v>-250.89732498334638</v>
      </c>
      <c r="M141" s="13">
        <f t="shared" ca="1" si="84"/>
        <v>-254.14176818292003</v>
      </c>
    </row>
    <row r="142" spans="1:13" x14ac:dyDescent="0.25">
      <c r="C142" s="9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1:13" x14ac:dyDescent="0.25">
      <c r="A143" s="4" t="s">
        <v>78</v>
      </c>
      <c r="C143" s="9" t="str">
        <f>CUR_NAME</f>
        <v>млн руб.</v>
      </c>
      <c r="D143" s="20">
        <f ca="1">D130+D135+D141</f>
        <v>0</v>
      </c>
      <c r="E143" s="20">
        <f ca="1">E130+E135+E141</f>
        <v>0</v>
      </c>
      <c r="F143" s="20">
        <f t="shared" ref="F143:M143" ca="1" si="85">F130+F135+F141</f>
        <v>71.667410904730431</v>
      </c>
      <c r="G143" s="20">
        <f t="shared" ca="1" si="85"/>
        <v>84.396386994656865</v>
      </c>
      <c r="H143" s="20">
        <f t="shared" ca="1" si="85"/>
        <v>90.876542599923482</v>
      </c>
      <c r="I143" s="20">
        <f t="shared" ca="1" si="85"/>
        <v>92.672185264463565</v>
      </c>
      <c r="J143" s="20">
        <f t="shared" ca="1" si="85"/>
        <v>94.468520197209841</v>
      </c>
      <c r="K143" s="20">
        <f t="shared" ca="1" si="85"/>
        <v>96.262825279899033</v>
      </c>
      <c r="L143" s="20">
        <f t="shared" ca="1" si="85"/>
        <v>98.052150350967395</v>
      </c>
      <c r="M143" s="20">
        <f t="shared" ca="1" si="85"/>
        <v>118.57870495064532</v>
      </c>
    </row>
    <row r="144" spans="1:13" x14ac:dyDescent="0.25">
      <c r="A144" s="4" t="s">
        <v>82</v>
      </c>
      <c r="C144" s="9" t="str">
        <f>CUR_NAME</f>
        <v>млн руб.</v>
      </c>
      <c r="D144" s="20">
        <v>0</v>
      </c>
      <c r="E144" s="20">
        <f ca="1">D145</f>
        <v>0</v>
      </c>
      <c r="F144" s="20">
        <f t="shared" ref="F144:M144" ca="1" si="86">E145</f>
        <v>0</v>
      </c>
      <c r="G144" s="20">
        <f t="shared" ca="1" si="86"/>
        <v>71.667410904730431</v>
      </c>
      <c r="H144" s="20">
        <f t="shared" ca="1" si="86"/>
        <v>156.06379789938728</v>
      </c>
      <c r="I144" s="20">
        <f t="shared" ca="1" si="86"/>
        <v>246.94034049931071</v>
      </c>
      <c r="J144" s="20">
        <f t="shared" ca="1" si="86"/>
        <v>339.61252576377433</v>
      </c>
      <c r="K144" s="20">
        <f t="shared" ca="1" si="86"/>
        <v>434.08104596100566</v>
      </c>
      <c r="L144" s="20">
        <f t="shared" ca="1" si="86"/>
        <v>530.34387124074101</v>
      </c>
      <c r="M144" s="20">
        <f t="shared" ca="1" si="86"/>
        <v>628.39602158998935</v>
      </c>
    </row>
    <row r="145" spans="1:13" x14ac:dyDescent="0.25">
      <c r="A145" s="4" t="s">
        <v>83</v>
      </c>
      <c r="C145" s="9" t="str">
        <f>CUR_NAME</f>
        <v>млн руб.</v>
      </c>
      <c r="D145" s="20">
        <f ca="1">SUM(D143:D144)</f>
        <v>0</v>
      </c>
      <c r="E145" s="20">
        <f ca="1">SUM(E143:E144)</f>
        <v>0</v>
      </c>
      <c r="F145" s="20">
        <f t="shared" ref="F145:M145" ca="1" si="87">SUM(F143:F144)</f>
        <v>71.667410904730431</v>
      </c>
      <c r="G145" s="20">
        <f t="shared" ca="1" si="87"/>
        <v>156.06379789938728</v>
      </c>
      <c r="H145" s="20">
        <f t="shared" ca="1" si="87"/>
        <v>246.94034049931076</v>
      </c>
      <c r="I145" s="20">
        <f t="shared" ca="1" si="87"/>
        <v>339.61252576377427</v>
      </c>
      <c r="J145" s="20">
        <f t="shared" ca="1" si="87"/>
        <v>434.08104596098417</v>
      </c>
      <c r="K145" s="20">
        <f t="shared" ca="1" si="87"/>
        <v>530.34387124090472</v>
      </c>
      <c r="L145" s="20">
        <f t="shared" ca="1" si="87"/>
        <v>628.3960215917084</v>
      </c>
      <c r="M145" s="20">
        <f t="shared" ca="1" si="87"/>
        <v>746.97472654063472</v>
      </c>
    </row>
    <row r="147" spans="1:13" s="16" customFormat="1" ht="20.100000000000001" customHeight="1" thickBot="1" x14ac:dyDescent="0.35">
      <c r="A147" s="14" t="s">
        <v>85</v>
      </c>
      <c r="B147" s="14"/>
      <c r="C147" s="14"/>
      <c r="D147" s="15" t="str">
        <f>D$2</f>
        <v>Год 1</v>
      </c>
      <c r="E147" s="15" t="str">
        <f t="shared" ref="E147:M147" si="88">E$2</f>
        <v>Год 2</v>
      </c>
      <c r="F147" s="15" t="str">
        <f t="shared" si="88"/>
        <v>Год 3</v>
      </c>
      <c r="G147" s="15" t="str">
        <f t="shared" si="88"/>
        <v>Год 4</v>
      </c>
      <c r="H147" s="15" t="str">
        <f t="shared" si="88"/>
        <v>Год 5</v>
      </c>
      <c r="I147" s="15" t="str">
        <f t="shared" si="88"/>
        <v>Год 6</v>
      </c>
      <c r="J147" s="15" t="str">
        <f t="shared" si="88"/>
        <v>Год 7</v>
      </c>
      <c r="K147" s="15" t="str">
        <f t="shared" si="88"/>
        <v>Год 8</v>
      </c>
      <c r="L147" s="15" t="str">
        <f t="shared" si="88"/>
        <v>Год 9</v>
      </c>
      <c r="M147" s="15" t="str">
        <f t="shared" si="88"/>
        <v>Год 10</v>
      </c>
    </row>
    <row r="149" spans="1:13" x14ac:dyDescent="0.25">
      <c r="A149" s="4" t="s">
        <v>42</v>
      </c>
      <c r="C149" s="9" t="str">
        <f>CUR_NAME</f>
        <v>млн руб.</v>
      </c>
      <c r="D149" s="20">
        <f t="shared" ref="D149:M149" si="89">D74</f>
        <v>189.00000000000003</v>
      </c>
      <c r="E149" s="20">
        <f t="shared" si="89"/>
        <v>630.00000000000011</v>
      </c>
      <c r="F149" s="20">
        <f t="shared" si="89"/>
        <v>598.50000000000011</v>
      </c>
      <c r="G149" s="20">
        <f t="shared" si="89"/>
        <v>567.00000000000011</v>
      </c>
      <c r="H149" s="20">
        <f t="shared" si="89"/>
        <v>535.50000000000011</v>
      </c>
      <c r="I149" s="20">
        <f t="shared" si="89"/>
        <v>504.00000000000011</v>
      </c>
      <c r="J149" s="20">
        <f t="shared" si="89"/>
        <v>472.50000000000011</v>
      </c>
      <c r="K149" s="20">
        <f t="shared" si="89"/>
        <v>441.00000000000011</v>
      </c>
      <c r="L149" s="20">
        <f t="shared" si="89"/>
        <v>409.50000000000011</v>
      </c>
      <c r="M149" s="20">
        <f t="shared" si="89"/>
        <v>378.00000000000011</v>
      </c>
    </row>
    <row r="150" spans="1:13" x14ac:dyDescent="0.25">
      <c r="A150" s="4" t="s">
        <v>43</v>
      </c>
      <c r="C150" s="9" t="str">
        <f>CUR_NAME</f>
        <v>млн руб.</v>
      </c>
      <c r="D150" s="20">
        <f>D75</f>
        <v>324</v>
      </c>
      <c r="E150" s="20">
        <f t="shared" ref="E150:M150" si="90">E75</f>
        <v>1080</v>
      </c>
      <c r="F150" s="20">
        <f t="shared" si="90"/>
        <v>1026</v>
      </c>
      <c r="G150" s="20">
        <f t="shared" si="90"/>
        <v>972</v>
      </c>
      <c r="H150" s="20">
        <f t="shared" si="90"/>
        <v>918</v>
      </c>
      <c r="I150" s="20">
        <f t="shared" si="90"/>
        <v>864</v>
      </c>
      <c r="J150" s="20">
        <f t="shared" si="90"/>
        <v>810</v>
      </c>
      <c r="K150" s="20">
        <f t="shared" si="90"/>
        <v>756</v>
      </c>
      <c r="L150" s="20">
        <f t="shared" si="90"/>
        <v>702</v>
      </c>
      <c r="M150" s="20">
        <f t="shared" si="90"/>
        <v>648</v>
      </c>
    </row>
    <row r="151" spans="1:13" x14ac:dyDescent="0.25">
      <c r="A151" s="4" t="s">
        <v>44</v>
      </c>
      <c r="C151" s="9" t="str">
        <f>CUR_NAME</f>
        <v>млн руб.</v>
      </c>
      <c r="D151" s="20">
        <f>D76</f>
        <v>27</v>
      </c>
      <c r="E151" s="20">
        <f t="shared" ref="E151:M151" si="91">E76</f>
        <v>90</v>
      </c>
      <c r="F151" s="20">
        <f t="shared" si="91"/>
        <v>81</v>
      </c>
      <c r="G151" s="20">
        <f t="shared" si="91"/>
        <v>72</v>
      </c>
      <c r="H151" s="20">
        <f t="shared" si="91"/>
        <v>63</v>
      </c>
      <c r="I151" s="20">
        <f t="shared" si="91"/>
        <v>54</v>
      </c>
      <c r="J151" s="20">
        <f t="shared" si="91"/>
        <v>45</v>
      </c>
      <c r="K151" s="20">
        <f t="shared" si="91"/>
        <v>36</v>
      </c>
      <c r="L151" s="20">
        <f t="shared" si="91"/>
        <v>27</v>
      </c>
      <c r="M151" s="20">
        <f t="shared" si="91"/>
        <v>18</v>
      </c>
    </row>
    <row r="152" spans="1:13" x14ac:dyDescent="0.25">
      <c r="A152" s="4" t="s">
        <v>88</v>
      </c>
      <c r="C152" s="9" t="str">
        <f>CUR_NAME</f>
        <v>млн руб.</v>
      </c>
      <c r="D152" s="20">
        <f>SUM(D149:D151)</f>
        <v>540</v>
      </c>
      <c r="E152" s="20">
        <f t="shared" ref="E152:M152" si="92">SUM(E149:E151)</f>
        <v>1800</v>
      </c>
      <c r="F152" s="20">
        <f t="shared" si="92"/>
        <v>1705.5</v>
      </c>
      <c r="G152" s="20">
        <f t="shared" si="92"/>
        <v>1611</v>
      </c>
      <c r="H152" s="20">
        <f t="shared" si="92"/>
        <v>1516.5</v>
      </c>
      <c r="I152" s="20">
        <f t="shared" si="92"/>
        <v>1422</v>
      </c>
      <c r="J152" s="20">
        <f t="shared" si="92"/>
        <v>1327.5</v>
      </c>
      <c r="K152" s="20">
        <f t="shared" si="92"/>
        <v>1233</v>
      </c>
      <c r="L152" s="20">
        <f t="shared" si="92"/>
        <v>1138.5</v>
      </c>
      <c r="M152" s="20">
        <f t="shared" si="92"/>
        <v>1044</v>
      </c>
    </row>
    <row r="153" spans="1:13" x14ac:dyDescent="0.25">
      <c r="C153" s="9"/>
      <c r="D153" s="20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1:13" x14ac:dyDescent="0.25">
      <c r="A154" s="4" t="s">
        <v>33</v>
      </c>
      <c r="C154" s="9" t="str">
        <f>CUR_NAME</f>
        <v>млн руб.</v>
      </c>
      <c r="D154" s="20">
        <f t="shared" ref="D154:M154" si="93">D41</f>
        <v>0</v>
      </c>
      <c r="E154" s="20">
        <f t="shared" si="93"/>
        <v>15.557260273972604</v>
      </c>
      <c r="F154" s="20">
        <f t="shared" si="93"/>
        <v>18.490915068493152</v>
      </c>
      <c r="G154" s="20">
        <f t="shared" si="93"/>
        <v>24.038189589041103</v>
      </c>
      <c r="H154" s="20">
        <f t="shared" si="93"/>
        <v>24.999717172602747</v>
      </c>
      <c r="I154" s="20">
        <f t="shared" si="93"/>
        <v>25.999705859506857</v>
      </c>
      <c r="J154" s="20">
        <f t="shared" si="93"/>
        <v>27.039694093887135</v>
      </c>
      <c r="K154" s="20">
        <f t="shared" si="93"/>
        <v>28.121281857642622</v>
      </c>
      <c r="L154" s="20">
        <f t="shared" si="93"/>
        <v>29.246133131948326</v>
      </c>
      <c r="M154" s="20">
        <f t="shared" si="93"/>
        <v>30.415978457226263</v>
      </c>
    </row>
    <row r="155" spans="1:13" x14ac:dyDescent="0.25">
      <c r="A155" s="4" t="s">
        <v>32</v>
      </c>
      <c r="C155" s="9" t="str">
        <f>CUR_NAME</f>
        <v>млн руб.</v>
      </c>
      <c r="D155" s="20">
        <f t="shared" ref="D155:M155" si="94">D40</f>
        <v>0</v>
      </c>
      <c r="E155" s="20">
        <f t="shared" si="94"/>
        <v>93.343561643835613</v>
      </c>
      <c r="F155" s="20">
        <f t="shared" si="94"/>
        <v>110.9454904109589</v>
      </c>
      <c r="G155" s="20">
        <f t="shared" si="94"/>
        <v>144.2291375342466</v>
      </c>
      <c r="H155" s="20">
        <f t="shared" si="94"/>
        <v>149.99830303561649</v>
      </c>
      <c r="I155" s="20">
        <f t="shared" si="94"/>
        <v>155.99823515704114</v>
      </c>
      <c r="J155" s="20">
        <f t="shared" si="94"/>
        <v>162.23816456332278</v>
      </c>
      <c r="K155" s="20">
        <f t="shared" si="94"/>
        <v>168.72769114585574</v>
      </c>
      <c r="L155" s="20">
        <f t="shared" si="94"/>
        <v>175.47679879168996</v>
      </c>
      <c r="M155" s="20">
        <f t="shared" si="94"/>
        <v>182.49587074335759</v>
      </c>
    </row>
    <row r="156" spans="1:13" x14ac:dyDescent="0.25">
      <c r="A156" s="4" t="s">
        <v>89</v>
      </c>
      <c r="C156" s="9" t="str">
        <f>CUR_NAME</f>
        <v>млн руб.</v>
      </c>
      <c r="D156" s="20">
        <f ca="1">D145</f>
        <v>0</v>
      </c>
      <c r="E156" s="20">
        <f t="shared" ref="E156:M156" ca="1" si="95">E145</f>
        <v>0</v>
      </c>
      <c r="F156" s="20">
        <f t="shared" ca="1" si="95"/>
        <v>71.667410904730431</v>
      </c>
      <c r="G156" s="20">
        <f t="shared" ca="1" si="95"/>
        <v>156.06379789938728</v>
      </c>
      <c r="H156" s="20">
        <f t="shared" ca="1" si="95"/>
        <v>246.94034049931076</v>
      </c>
      <c r="I156" s="20">
        <f t="shared" ca="1" si="95"/>
        <v>339.61252576377427</v>
      </c>
      <c r="J156" s="20">
        <f t="shared" ca="1" si="95"/>
        <v>434.08104596098417</v>
      </c>
      <c r="K156" s="20">
        <f t="shared" ca="1" si="95"/>
        <v>530.34387124090472</v>
      </c>
      <c r="L156" s="20">
        <f t="shared" ca="1" si="95"/>
        <v>628.3960215917084</v>
      </c>
      <c r="M156" s="20">
        <f t="shared" ca="1" si="95"/>
        <v>746.97472654063472</v>
      </c>
    </row>
    <row r="157" spans="1:13" x14ac:dyDescent="0.25">
      <c r="A157" s="4" t="s">
        <v>90</v>
      </c>
      <c r="C157" s="9" t="str">
        <f>CUR_NAME</f>
        <v>млн руб.</v>
      </c>
      <c r="D157" s="20">
        <f ca="1">SUM(D154:D156)</f>
        <v>0</v>
      </c>
      <c r="E157" s="20">
        <f t="shared" ref="E157:M157" ca="1" si="96">SUM(E154:E156)</f>
        <v>108.90082191780822</v>
      </c>
      <c r="F157" s="20">
        <f t="shared" ca="1" si="96"/>
        <v>201.10381638418249</v>
      </c>
      <c r="G157" s="20">
        <f t="shared" ca="1" si="96"/>
        <v>324.331125022675</v>
      </c>
      <c r="H157" s="20">
        <f t="shared" ca="1" si="96"/>
        <v>421.93836070753002</v>
      </c>
      <c r="I157" s="20">
        <f t="shared" ca="1" si="96"/>
        <v>521.61046678032221</v>
      </c>
      <c r="J157" s="20">
        <f t="shared" ca="1" si="96"/>
        <v>623.35890461819406</v>
      </c>
      <c r="K157" s="20">
        <f t="shared" ca="1" si="96"/>
        <v>727.19284424440309</v>
      </c>
      <c r="L157" s="20">
        <f t="shared" ca="1" si="96"/>
        <v>833.11895351534667</v>
      </c>
      <c r="M157" s="20">
        <f t="shared" ca="1" si="96"/>
        <v>959.88657574121862</v>
      </c>
    </row>
    <row r="158" spans="1:13" x14ac:dyDescent="0.25">
      <c r="C158" s="9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1:13" x14ac:dyDescent="0.25">
      <c r="A159" s="28" t="s">
        <v>91</v>
      </c>
      <c r="C159" s="9" t="str">
        <f>CUR_NAME</f>
        <v>млн руб.</v>
      </c>
      <c r="D159" s="13">
        <f ca="1">D152+D157</f>
        <v>540</v>
      </c>
      <c r="E159" s="13">
        <f t="shared" ref="E159:M159" ca="1" si="97">E152+E157</f>
        <v>1908.9008219178081</v>
      </c>
      <c r="F159" s="13">
        <f t="shared" ca="1" si="97"/>
        <v>1906.6038163841824</v>
      </c>
      <c r="G159" s="13">
        <f t="shared" ca="1" si="97"/>
        <v>1935.331125022675</v>
      </c>
      <c r="H159" s="13">
        <f t="shared" ca="1" si="97"/>
        <v>1938.4383607075301</v>
      </c>
      <c r="I159" s="13">
        <f t="shared" ca="1" si="97"/>
        <v>1943.6104667803222</v>
      </c>
      <c r="J159" s="13">
        <f t="shared" ca="1" si="97"/>
        <v>1950.8589046181942</v>
      </c>
      <c r="K159" s="13">
        <f t="shared" ca="1" si="97"/>
        <v>1960.1928442444032</v>
      </c>
      <c r="L159" s="13">
        <f t="shared" ca="1" si="97"/>
        <v>1971.6189535153467</v>
      </c>
      <c r="M159" s="13">
        <f t="shared" ca="1" si="97"/>
        <v>2003.8865757412186</v>
      </c>
    </row>
    <row r="160" spans="1:13" x14ac:dyDescent="0.25">
      <c r="C160" s="9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1:13" x14ac:dyDescent="0.25">
      <c r="A161" s="4" t="s">
        <v>92</v>
      </c>
      <c r="C161" s="9" t="str">
        <f>CUR_NAME</f>
        <v>млн руб.</v>
      </c>
      <c r="D161" s="20">
        <f t="shared" ref="D161:M161" si="98">D84</f>
        <v>108</v>
      </c>
      <c r="E161" s="20">
        <f t="shared" si="98"/>
        <v>360</v>
      </c>
      <c r="F161" s="20">
        <f t="shared" si="98"/>
        <v>360</v>
      </c>
      <c r="G161" s="20">
        <f t="shared" si="98"/>
        <v>360</v>
      </c>
      <c r="H161" s="20">
        <f t="shared" si="98"/>
        <v>360</v>
      </c>
      <c r="I161" s="20">
        <f t="shared" si="98"/>
        <v>360</v>
      </c>
      <c r="J161" s="20">
        <f t="shared" si="98"/>
        <v>360</v>
      </c>
      <c r="K161" s="20">
        <f t="shared" si="98"/>
        <v>360</v>
      </c>
      <c r="L161" s="20">
        <f t="shared" si="98"/>
        <v>360</v>
      </c>
      <c r="M161" s="20">
        <f t="shared" si="98"/>
        <v>360</v>
      </c>
    </row>
    <row r="162" spans="1:13" x14ac:dyDescent="0.25">
      <c r="A162" s="4" t="s">
        <v>97</v>
      </c>
      <c r="C162" s="9" t="str">
        <f>CUR_NAME</f>
        <v>млн руб.</v>
      </c>
      <c r="D162" s="20">
        <f ca="1">D123+D140</f>
        <v>-27.113684210526348</v>
      </c>
      <c r="E162" s="20">
        <f ca="1">D162+E123+E140</f>
        <v>84.130443651332584</v>
      </c>
      <c r="F162" s="20">
        <f t="shared" ref="F162:M162" ca="1" si="99">E162+F123+F140</f>
        <v>160.21403967319148</v>
      </c>
      <c r="G162" s="20">
        <f t="shared" ca="1" si="99"/>
        <v>301.26934088945893</v>
      </c>
      <c r="H162" s="20">
        <f t="shared" ca="1" si="99"/>
        <v>458.27917422580521</v>
      </c>
      <c r="I162" s="20">
        <f t="shared" ca="1" si="99"/>
        <v>632.50439618021085</v>
      </c>
      <c r="J162" s="20">
        <f t="shared" ca="1" si="99"/>
        <v>824.93746281306483</v>
      </c>
      <c r="K162" s="20">
        <f t="shared" ca="1" si="99"/>
        <v>1036.624027489516</v>
      </c>
      <c r="L162" s="20">
        <f t="shared" ca="1" si="99"/>
        <v>1268.6656537310075</v>
      </c>
      <c r="M162" s="20">
        <f t="shared" ca="1" si="99"/>
        <v>1522.2226619294577</v>
      </c>
    </row>
    <row r="163" spans="1:13" x14ac:dyDescent="0.25">
      <c r="A163" s="4" t="s">
        <v>93</v>
      </c>
      <c r="C163" s="9" t="str">
        <f>CUR_NAME</f>
        <v>млн руб.</v>
      </c>
      <c r="D163" s="20">
        <f ca="1">SUM(D161:D162)</f>
        <v>80.886315789473656</v>
      </c>
      <c r="E163" s="20">
        <f t="shared" ref="E163:M163" ca="1" si="100">SUM(E161:E162)</f>
        <v>444.1304436513326</v>
      </c>
      <c r="F163" s="20">
        <f t="shared" ca="1" si="100"/>
        <v>520.21403967319145</v>
      </c>
      <c r="G163" s="20">
        <f t="shared" ca="1" si="100"/>
        <v>661.26934088945893</v>
      </c>
      <c r="H163" s="20">
        <f t="shared" ca="1" si="100"/>
        <v>818.27917422580526</v>
      </c>
      <c r="I163" s="20">
        <f t="shared" ca="1" si="100"/>
        <v>992.50439618021085</v>
      </c>
      <c r="J163" s="20">
        <f t="shared" ca="1" si="100"/>
        <v>1184.9374628130649</v>
      </c>
      <c r="K163" s="20">
        <f t="shared" ca="1" si="100"/>
        <v>1396.624027489516</v>
      </c>
      <c r="L163" s="20">
        <f t="shared" ca="1" si="100"/>
        <v>1628.6656537310075</v>
      </c>
      <c r="M163" s="20">
        <f t="shared" ca="1" si="100"/>
        <v>1882.2226619294577</v>
      </c>
    </row>
    <row r="164" spans="1:13" x14ac:dyDescent="0.25">
      <c r="C164" s="9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1:13" x14ac:dyDescent="0.25">
      <c r="A165" s="4" t="s">
        <v>94</v>
      </c>
      <c r="C165" s="9" t="str">
        <f>CUR_NAME</f>
        <v>млн руб.</v>
      </c>
      <c r="D165" s="20">
        <f t="shared" ref="D165:M165" ca="1" si="101">D91</f>
        <v>459.11368421052691</v>
      </c>
      <c r="E165" s="20">
        <f t="shared" ca="1" si="101"/>
        <v>1402.5413371705858</v>
      </c>
      <c r="F165" s="20">
        <f t="shared" ca="1" si="101"/>
        <v>1312.4261164370191</v>
      </c>
      <c r="G165" s="20">
        <f t="shared" ca="1" si="101"/>
        <v>1177.9090257770524</v>
      </c>
      <c r="H165" s="20">
        <f t="shared" ca="1" si="101"/>
        <v>1020.1603177913146</v>
      </c>
      <c r="I165" s="20">
        <f t="shared" ca="1" si="101"/>
        <v>847.10724716208495</v>
      </c>
      <c r="J165" s="20">
        <f t="shared" ca="1" si="101"/>
        <v>657.7626654295816</v>
      </c>
      <c r="K165" s="20">
        <f t="shared" ca="1" si="101"/>
        <v>451.08368932431495</v>
      </c>
      <c r="L165" s="20">
        <f t="shared" ca="1" si="101"/>
        <v>225.96876725659286</v>
      </c>
      <c r="M165" s="20">
        <f t="shared" ca="1" si="101"/>
        <v>-1.7101399407692952E-8</v>
      </c>
    </row>
    <row r="166" spans="1:13" x14ac:dyDescent="0.25">
      <c r="A166" s="4" t="s">
        <v>34</v>
      </c>
      <c r="C166" s="9" t="str">
        <f>CUR_NAME</f>
        <v>млн руб.</v>
      </c>
      <c r="D166" s="20">
        <f t="shared" ref="D166:M166" si="102">D42</f>
        <v>0</v>
      </c>
      <c r="E166" s="20">
        <f t="shared" si="102"/>
        <v>62.229041095890416</v>
      </c>
      <c r="F166" s="20">
        <f t="shared" si="102"/>
        <v>73.963660273972607</v>
      </c>
      <c r="G166" s="20">
        <f t="shared" si="102"/>
        <v>96.152758356164412</v>
      </c>
      <c r="H166" s="20">
        <f t="shared" si="102"/>
        <v>99.998868690410987</v>
      </c>
      <c r="I166" s="20">
        <f t="shared" si="102"/>
        <v>103.99882343802743</v>
      </c>
      <c r="J166" s="20">
        <f t="shared" si="102"/>
        <v>108.15877637554854</v>
      </c>
      <c r="K166" s="20">
        <f t="shared" si="102"/>
        <v>112.48512743057049</v>
      </c>
      <c r="L166" s="20">
        <f t="shared" si="102"/>
        <v>116.98453252779331</v>
      </c>
      <c r="M166" s="20">
        <f t="shared" si="102"/>
        <v>121.66391382890505</v>
      </c>
    </row>
    <row r="167" spans="1:13" x14ac:dyDescent="0.25">
      <c r="C167" s="9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1:13" x14ac:dyDescent="0.25">
      <c r="A168" s="28" t="s">
        <v>95</v>
      </c>
      <c r="C168" s="9" t="str">
        <f>CUR_NAME</f>
        <v>млн руб.</v>
      </c>
      <c r="D168" s="13">
        <f ca="1">D163+D165+D166</f>
        <v>540.00000000000057</v>
      </c>
      <c r="E168" s="13">
        <f t="shared" ref="E168:M168" ca="1" si="103">E163+E165+E166</f>
        <v>1908.9008219178088</v>
      </c>
      <c r="F168" s="13">
        <f t="shared" ca="1" si="103"/>
        <v>1906.6038163841833</v>
      </c>
      <c r="G168" s="13">
        <f t="shared" ca="1" si="103"/>
        <v>1935.3311250226759</v>
      </c>
      <c r="H168" s="13">
        <f t="shared" ca="1" si="103"/>
        <v>1938.4383607075308</v>
      </c>
      <c r="I168" s="13">
        <f t="shared" ca="1" si="103"/>
        <v>1943.6104667803231</v>
      </c>
      <c r="J168" s="13">
        <f t="shared" ca="1" si="103"/>
        <v>1950.8589046181951</v>
      </c>
      <c r="K168" s="13">
        <f t="shared" ca="1" si="103"/>
        <v>1960.1928442444014</v>
      </c>
      <c r="L168" s="13">
        <f t="shared" ca="1" si="103"/>
        <v>1971.6189535153937</v>
      </c>
      <c r="M168" s="13">
        <f t="shared" ca="1" si="103"/>
        <v>2003.8865757412614</v>
      </c>
    </row>
    <row r="169" spans="1:13" x14ac:dyDescent="0.25">
      <c r="A169" s="4" t="s">
        <v>96</v>
      </c>
      <c r="B169" s="9" t="str">
        <f ca="1">IF(ABS(SUM(D169:M169))&lt;0.001, "OK", "Ошибка")</f>
        <v>OK</v>
      </c>
      <c r="D169" s="20">
        <f ca="1">D159-D168</f>
        <v>0</v>
      </c>
      <c r="E169" s="20">
        <f t="shared" ref="E169:M169" ca="1" si="104">E159-E168</f>
        <v>0</v>
      </c>
      <c r="F169" s="20">
        <f t="shared" ca="1" si="104"/>
        <v>0</v>
      </c>
      <c r="G169" s="20">
        <f t="shared" ca="1" si="104"/>
        <v>0</v>
      </c>
      <c r="H169" s="20">
        <f t="shared" ca="1" si="104"/>
        <v>0</v>
      </c>
      <c r="I169" s="20">
        <f t="shared" ca="1" si="104"/>
        <v>0</v>
      </c>
      <c r="J169" s="20">
        <f t="shared" ca="1" si="104"/>
        <v>0</v>
      </c>
      <c r="K169" s="20">
        <f t="shared" ca="1" si="104"/>
        <v>1.8189894035458565E-12</v>
      </c>
      <c r="L169" s="20">
        <f t="shared" ca="1" si="104"/>
        <v>-4.7066350816749036E-11</v>
      </c>
      <c r="M169" s="20">
        <f t="shared" ca="1" si="104"/>
        <v>-4.2746250983327627E-11</v>
      </c>
    </row>
    <row r="171" spans="1:13" s="16" customFormat="1" ht="20.100000000000001" customHeight="1" thickBot="1" x14ac:dyDescent="0.35">
      <c r="A171" s="14" t="s">
        <v>87</v>
      </c>
      <c r="B171" s="14"/>
      <c r="C171" s="14"/>
      <c r="D171" s="15" t="str">
        <f>D$2</f>
        <v>Год 1</v>
      </c>
      <c r="E171" s="15" t="str">
        <f t="shared" ref="E171:M171" si="105">E$2</f>
        <v>Год 2</v>
      </c>
      <c r="F171" s="15" t="str">
        <f t="shared" si="105"/>
        <v>Год 3</v>
      </c>
      <c r="G171" s="15" t="str">
        <f t="shared" si="105"/>
        <v>Год 4</v>
      </c>
      <c r="H171" s="15" t="str">
        <f t="shared" si="105"/>
        <v>Год 5</v>
      </c>
      <c r="I171" s="15" t="str">
        <f t="shared" si="105"/>
        <v>Год 6</v>
      </c>
      <c r="J171" s="15" t="str">
        <f t="shared" si="105"/>
        <v>Год 7</v>
      </c>
      <c r="K171" s="15" t="str">
        <f t="shared" si="105"/>
        <v>Год 8</v>
      </c>
      <c r="L171" s="15" t="str">
        <f t="shared" si="105"/>
        <v>Год 9</v>
      </c>
      <c r="M171" s="15" t="str">
        <f t="shared" si="105"/>
        <v>Год 10</v>
      </c>
    </row>
    <row r="173" spans="1:13" x14ac:dyDescent="0.25">
      <c r="A173" s="4" t="s">
        <v>105</v>
      </c>
      <c r="C173" s="9" t="str">
        <f>CUR_NAME</f>
        <v>млн руб.</v>
      </c>
      <c r="D173" s="20">
        <f ca="1">D130+D135+D138+D139</f>
        <v>-107.99999999999943</v>
      </c>
      <c r="E173" s="20">
        <f t="shared" ref="E173:M173" ca="1" si="106">E130+E135+E138+E139</f>
        <v>-239.63954134868209</v>
      </c>
      <c r="F173" s="20">
        <f t="shared" ca="1" si="106"/>
        <v>80.121143796048088</v>
      </c>
      <c r="G173" s="20">
        <f t="shared" ca="1" si="106"/>
        <v>100.0691982409088</v>
      </c>
      <c r="H173" s="20">
        <f t="shared" ca="1" si="106"/>
        <v>108.32207963729527</v>
      </c>
      <c r="I173" s="20">
        <f t="shared" ca="1" si="106"/>
        <v>112.03054325939755</v>
      </c>
      <c r="J173" s="20">
        <f t="shared" ca="1" si="106"/>
        <v>115.84997204530467</v>
      </c>
      <c r="K173" s="20">
        <f t="shared" ca="1" si="106"/>
        <v>119.78355468839246</v>
      </c>
      <c r="L173" s="20">
        <f t="shared" ca="1" si="106"/>
        <v>123.83455326670679</v>
      </c>
      <c r="M173" s="20">
        <f t="shared" ca="1" si="106"/>
        <v>146.75170586159439</v>
      </c>
    </row>
    <row r="174" spans="1:13" x14ac:dyDescent="0.25">
      <c r="A174" s="4" t="s">
        <v>106</v>
      </c>
      <c r="B174" s="29">
        <v>0.15</v>
      </c>
      <c r="D174" s="11">
        <f>$B$174</f>
        <v>0.15</v>
      </c>
      <c r="E174" s="11">
        <f t="shared" ref="E174:M174" si="107">$B$174</f>
        <v>0.15</v>
      </c>
      <c r="F174" s="11">
        <f t="shared" si="107"/>
        <v>0.15</v>
      </c>
      <c r="G174" s="11">
        <f t="shared" si="107"/>
        <v>0.15</v>
      </c>
      <c r="H174" s="11">
        <f t="shared" si="107"/>
        <v>0.15</v>
      </c>
      <c r="I174" s="11">
        <f t="shared" si="107"/>
        <v>0.15</v>
      </c>
      <c r="J174" s="11">
        <f t="shared" si="107"/>
        <v>0.15</v>
      </c>
      <c r="K174" s="11">
        <f t="shared" si="107"/>
        <v>0.15</v>
      </c>
      <c r="L174" s="11">
        <f t="shared" si="107"/>
        <v>0.15</v>
      </c>
      <c r="M174" s="11">
        <f t="shared" si="107"/>
        <v>0.15</v>
      </c>
    </row>
    <row r="175" spans="1:13" x14ac:dyDescent="0.25">
      <c r="A175" s="4" t="s">
        <v>107</v>
      </c>
      <c r="C175" s="9" t="s">
        <v>64</v>
      </c>
      <c r="D175" s="31">
        <v>1</v>
      </c>
      <c r="E175" s="31">
        <f>D175/(1+D174)</f>
        <v>0.86956521739130443</v>
      </c>
      <c r="F175" s="31">
        <f t="shared" ref="F175:M175" si="108">E175/(1+E174)</f>
        <v>0.7561436672967865</v>
      </c>
      <c r="G175" s="31">
        <f t="shared" si="108"/>
        <v>0.65751623243198831</v>
      </c>
      <c r="H175" s="31">
        <f t="shared" si="108"/>
        <v>0.57175324559303331</v>
      </c>
      <c r="I175" s="31">
        <f t="shared" si="108"/>
        <v>0.49717673529828987</v>
      </c>
      <c r="J175" s="31">
        <f t="shared" si="108"/>
        <v>0.43232759591155645</v>
      </c>
      <c r="K175" s="31">
        <f t="shared" si="108"/>
        <v>0.37593703992309258</v>
      </c>
      <c r="L175" s="31">
        <f t="shared" si="108"/>
        <v>0.32690177384616748</v>
      </c>
      <c r="M175" s="31">
        <f t="shared" si="108"/>
        <v>0.28426241204014563</v>
      </c>
    </row>
    <row r="176" spans="1:13" x14ac:dyDescent="0.25">
      <c r="A176" s="4" t="s">
        <v>108</v>
      </c>
      <c r="C176" s="9" t="str">
        <f>CUR_NAME</f>
        <v>млн руб.</v>
      </c>
      <c r="D176" s="20">
        <f ca="1">D173*D175</f>
        <v>-107.99999999999943</v>
      </c>
      <c r="E176" s="20">
        <f t="shared" ref="E176:M176" ca="1" si="109">E173*E175</f>
        <v>-208.38220986841924</v>
      </c>
      <c r="F176" s="20">
        <f t="shared" ca="1" si="109"/>
        <v>60.583095497956975</v>
      </c>
      <c r="G176" s="20">
        <f t="shared" ca="1" si="109"/>
        <v>65.797122209852105</v>
      </c>
      <c r="H176" s="20">
        <f t="shared" ca="1" si="109"/>
        <v>61.933500602010596</v>
      </c>
      <c r="I176" s="20">
        <f t="shared" ca="1" si="109"/>
        <v>55.698979751401104</v>
      </c>
      <c r="J176" s="20">
        <f t="shared" ca="1" si="109"/>
        <v>50.085139900767587</v>
      </c>
      <c r="K176" s="20">
        <f t="shared" ca="1" si="109"/>
        <v>45.03107498102014</v>
      </c>
      <c r="L176" s="20">
        <f t="shared" ca="1" si="109"/>
        <v>40.481735126334165</v>
      </c>
      <c r="M176" s="20">
        <f t="shared" ca="1" si="109"/>
        <v>41.7159938792228</v>
      </c>
    </row>
    <row r="178" spans="1:13" x14ac:dyDescent="0.25">
      <c r="A178" s="4" t="s">
        <v>109</v>
      </c>
      <c r="B178" s="32">
        <f ca="1">SUM(D176:M176)</f>
        <v>104.94443208014684</v>
      </c>
      <c r="C178" s="9" t="str">
        <f>CUR_NAME</f>
        <v>млн руб.</v>
      </c>
    </row>
    <row r="179" spans="1:13" x14ac:dyDescent="0.25">
      <c r="A179" s="4" t="s">
        <v>110</v>
      </c>
      <c r="B179" s="33">
        <f ca="1">IRR(D173:M173)</f>
        <v>0.22903448436180018</v>
      </c>
      <c r="C179" s="9" t="s">
        <v>11</v>
      </c>
    </row>
    <row r="181" spans="1:13" x14ac:dyDescent="0.25">
      <c r="A181" s="4" t="s">
        <v>111</v>
      </c>
      <c r="C181" s="9" t="str">
        <f>CUR_NAME</f>
        <v>млн руб.</v>
      </c>
      <c r="D181" s="20">
        <f ca="1">D173</f>
        <v>-107.99999999999943</v>
      </c>
      <c r="E181" s="20">
        <f ca="1">D181+E173</f>
        <v>-347.63954134868152</v>
      </c>
      <c r="F181" s="20">
        <f t="shared" ref="F181:M181" ca="1" si="110">E181+F173</f>
        <v>-267.51839755263342</v>
      </c>
      <c r="G181" s="20">
        <f t="shared" ca="1" si="110"/>
        <v>-167.44919931172461</v>
      </c>
      <c r="H181" s="20">
        <f t="shared" ca="1" si="110"/>
        <v>-59.127119674429338</v>
      </c>
      <c r="I181" s="20">
        <f t="shared" ca="1" si="110"/>
        <v>52.903423584968209</v>
      </c>
      <c r="J181" s="20">
        <f t="shared" ca="1" si="110"/>
        <v>168.75339563027288</v>
      </c>
      <c r="K181" s="20">
        <f t="shared" ca="1" si="110"/>
        <v>288.53695031866533</v>
      </c>
      <c r="L181" s="20">
        <f t="shared" ca="1" si="110"/>
        <v>412.37150358537212</v>
      </c>
      <c r="M181" s="20">
        <f t="shared" ca="1" si="110"/>
        <v>559.12320944696648</v>
      </c>
    </row>
    <row r="182" spans="1:13" x14ac:dyDescent="0.25">
      <c r="A182" s="4" t="s">
        <v>112</v>
      </c>
      <c r="C182" s="9" t="str">
        <f>CUR_NAME</f>
        <v>млн руб.</v>
      </c>
      <c r="D182" s="20">
        <f ca="1">D176</f>
        <v>-107.99999999999943</v>
      </c>
      <c r="E182" s="20">
        <f ca="1">D182+E176</f>
        <v>-316.38220986841867</v>
      </c>
      <c r="F182" s="20">
        <f t="shared" ref="F182:M182" ca="1" si="111">E182+F176</f>
        <v>-255.79911437046169</v>
      </c>
      <c r="G182" s="20">
        <f t="shared" ca="1" si="111"/>
        <v>-190.00199216060957</v>
      </c>
      <c r="H182" s="20">
        <f t="shared" ca="1" si="111"/>
        <v>-128.06849155859896</v>
      </c>
      <c r="I182" s="20">
        <f t="shared" ca="1" si="111"/>
        <v>-72.369511807197853</v>
      </c>
      <c r="J182" s="20">
        <f t="shared" ca="1" si="111"/>
        <v>-22.284371906430266</v>
      </c>
      <c r="K182" s="20">
        <f t="shared" ca="1" si="111"/>
        <v>22.746703074589874</v>
      </c>
      <c r="L182" s="20">
        <f t="shared" ca="1" si="111"/>
        <v>63.228438200924039</v>
      </c>
      <c r="M182" s="20">
        <f t="shared" ca="1" si="111"/>
        <v>104.94443208014684</v>
      </c>
    </row>
  </sheetData>
  <mergeCells count="1">
    <mergeCell ref="A1:A2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CUR_NAME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Рябых</dc:creator>
  <cp:lastModifiedBy>User</cp:lastModifiedBy>
  <dcterms:created xsi:type="dcterms:W3CDTF">2021-10-04T15:31:37Z</dcterms:created>
  <dcterms:modified xsi:type="dcterms:W3CDTF">2021-11-28T14:22:40Z</dcterms:modified>
</cp:coreProperties>
</file>