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 Koltsova\Dropbox (Alt-Invest)\ROVER\ПРОЕКТЫ\++ХМАО_судостроение\+Результат\БП_сборка пассаж флота\"/>
    </mc:Choice>
  </mc:AlternateContent>
  <xr:revisionPtr revIDLastSave="0" documentId="8_{FDDD085D-D191-4776-B6E7-B283430C1009}" xr6:coauthVersionLast="46" xr6:coauthVersionMax="46" xr10:uidLastSave="{00000000-0000-0000-0000-000000000000}"/>
  <bookViews>
    <workbookView xWindow="-120" yWindow="-120" windowWidth="29040" windowHeight="15840" xr2:uid="{F47D2013-E4C2-45FB-AA58-E9F3640752E1}"/>
  </bookViews>
  <sheets>
    <sheet name="Лист1" sheetId="1" r:id="rId1"/>
  </sheets>
  <definedNames>
    <definedName name="CUR_NAME">Лист1!$C$4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F175" i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E89" i="1"/>
  <c r="D89" i="1"/>
  <c r="E94" i="1"/>
  <c r="G88" i="1"/>
  <c r="K88" i="1"/>
  <c r="M88" i="1"/>
  <c r="F88" i="1"/>
  <c r="H88" i="1"/>
  <c r="J88" i="1"/>
  <c r="L88" i="1"/>
  <c r="D94" i="1"/>
  <c r="I88" i="1"/>
  <c r="D66" i="1"/>
  <c r="D71" i="1" s="1"/>
  <c r="E65" i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E64" i="1"/>
  <c r="E69" i="1" s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E66" i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C182" i="1" l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E70" i="1" s="1"/>
  <c r="D119" i="1"/>
  <c r="D128" i="1" s="1"/>
  <c r="E119" i="1"/>
  <c r="E128" i="1" s="1"/>
  <c r="E71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74" i="1" s="1"/>
  <c r="E149" i="1" s="1"/>
  <c r="E60" i="1"/>
  <c r="F60" i="1" s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F59" i="1" s="1"/>
  <c r="D135" i="1"/>
  <c r="D36" i="1"/>
  <c r="F9" i="1"/>
  <c r="F10" i="1" s="1"/>
  <c r="F26" i="1" s="1"/>
  <c r="E35" i="1"/>
  <c r="D44" i="1"/>
  <c r="D45" i="1" s="1"/>
  <c r="D129" i="1" s="1"/>
  <c r="E10" i="1"/>
  <c r="E76" i="1" l="1"/>
  <c r="E151" i="1" s="1"/>
  <c r="E99" i="1"/>
  <c r="E116" i="1" s="1"/>
  <c r="F58" i="1"/>
  <c r="G58" i="1" s="1"/>
  <c r="H58" i="1" s="1"/>
  <c r="D152" i="1"/>
  <c r="E161" i="1"/>
  <c r="E104" i="1"/>
  <c r="E111" i="1"/>
  <c r="D117" i="1"/>
  <c r="G84" i="1"/>
  <c r="F161" i="1"/>
  <c r="F104" i="1"/>
  <c r="F111" i="1"/>
  <c r="E75" i="1"/>
  <c r="E150" i="1" s="1"/>
  <c r="G9" i="1"/>
  <c r="G10" i="1" s="1"/>
  <c r="F35" i="1"/>
  <c r="F32" i="1"/>
  <c r="F40" i="1"/>
  <c r="F155" i="1" s="1"/>
  <c r="F42" i="1"/>
  <c r="F166" i="1" s="1"/>
  <c r="F41" i="1"/>
  <c r="F154" i="1" s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F66" i="1"/>
  <c r="F71" i="1" s="1"/>
  <c r="F76" i="1" s="1"/>
  <c r="F151" i="1" s="1"/>
  <c r="G59" i="1"/>
  <c r="F65" i="1"/>
  <c r="H7" i="1"/>
  <c r="E152" i="1" l="1"/>
  <c r="F64" i="1"/>
  <c r="F69" i="1" s="1"/>
  <c r="G64" i="1" s="1"/>
  <c r="G69" i="1" s="1"/>
  <c r="G74" i="1" s="1"/>
  <c r="F105" i="1"/>
  <c r="F107" i="1" s="1"/>
  <c r="F112" i="1"/>
  <c r="H84" i="1"/>
  <c r="G161" i="1"/>
  <c r="E105" i="1"/>
  <c r="E107" i="1" s="1"/>
  <c r="E112" i="1"/>
  <c r="E117" i="1" s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H32" i="1" s="1"/>
  <c r="G35" i="1"/>
  <c r="H59" i="1"/>
  <c r="G66" i="1"/>
  <c r="G71" i="1" s="1"/>
  <c r="I58" i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H64" i="1" l="1"/>
  <c r="H69" i="1" s="1"/>
  <c r="I64" i="1" s="1"/>
  <c r="I69" i="1" s="1"/>
  <c r="F119" i="1"/>
  <c r="F128" i="1" s="1"/>
  <c r="F74" i="1"/>
  <c r="F149" i="1" s="1"/>
  <c r="F152" i="1" s="1"/>
  <c r="G65" i="1"/>
  <c r="G70" i="1" s="1"/>
  <c r="H65" i="1" s="1"/>
  <c r="G99" i="1"/>
  <c r="G116" i="1" s="1"/>
  <c r="G149" i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J58" i="1"/>
  <c r="H42" i="1"/>
  <c r="H166" i="1" s="1"/>
  <c r="H41" i="1"/>
  <c r="H154" i="1" s="1"/>
  <c r="H40" i="1"/>
  <c r="H155" i="1" s="1"/>
  <c r="I59" i="1"/>
  <c r="H33" i="1"/>
  <c r="H27" i="1"/>
  <c r="H113" i="1" s="1"/>
  <c r="H26" i="1"/>
  <c r="H34" i="1"/>
  <c r="H29" i="1"/>
  <c r="H115" i="1" s="1"/>
  <c r="H28" i="1"/>
  <c r="H114" i="1" s="1"/>
  <c r="J7" i="1"/>
  <c r="H74" i="1" l="1"/>
  <c r="H99" i="1" s="1"/>
  <c r="H116" i="1" s="1"/>
  <c r="F99" i="1"/>
  <c r="F116" i="1" s="1"/>
  <c r="F117" i="1" s="1"/>
  <c r="G119" i="1"/>
  <c r="G128" i="1" s="1"/>
  <c r="G117" i="1"/>
  <c r="G75" i="1"/>
  <c r="G150" i="1" s="1"/>
  <c r="G152" i="1" s="1"/>
  <c r="I111" i="1"/>
  <c r="I104" i="1"/>
  <c r="J84" i="1"/>
  <c r="I161" i="1"/>
  <c r="H112" i="1"/>
  <c r="H105" i="1"/>
  <c r="H107" i="1" s="1"/>
  <c r="H100" i="1"/>
  <c r="H101" i="1"/>
  <c r="H70" i="1"/>
  <c r="I65" i="1" s="1"/>
  <c r="H119" i="1"/>
  <c r="H128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J64" i="1"/>
  <c r="J69" i="1" s="1"/>
  <c r="I74" i="1"/>
  <c r="K58" i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H149" i="1" l="1"/>
  <c r="H117" i="1"/>
  <c r="I112" i="1"/>
  <c r="I105" i="1"/>
  <c r="I107" i="1" s="1"/>
  <c r="J111" i="1"/>
  <c r="J104" i="1"/>
  <c r="K84" i="1"/>
  <c r="J161" i="1"/>
  <c r="I99" i="1"/>
  <c r="I116" i="1" s="1"/>
  <c r="I149" i="1"/>
  <c r="I100" i="1"/>
  <c r="I101" i="1"/>
  <c r="H75" i="1"/>
  <c r="H150" i="1" s="1"/>
  <c r="I36" i="1"/>
  <c r="I70" i="1"/>
  <c r="J65" i="1" s="1"/>
  <c r="I119" i="1"/>
  <c r="I128" i="1" s="1"/>
  <c r="K64" i="1"/>
  <c r="K69" i="1" s="1"/>
  <c r="K74" i="1" s="1"/>
  <c r="J35" i="1"/>
  <c r="K9" i="1"/>
  <c r="K10" i="1" s="1"/>
  <c r="J66" i="1"/>
  <c r="J71" i="1" s="1"/>
  <c r="I76" i="1"/>
  <c r="I151" i="1" s="1"/>
  <c r="K60" i="1"/>
  <c r="L58" i="1"/>
  <c r="J42" i="1"/>
  <c r="J166" i="1" s="1"/>
  <c r="J41" i="1"/>
  <c r="J154" i="1" s="1"/>
  <c r="J40" i="1"/>
  <c r="J155" i="1" s="1"/>
  <c r="K59" i="1"/>
  <c r="I44" i="1"/>
  <c r="I45" i="1" s="1"/>
  <c r="I129" i="1" s="1"/>
  <c r="J74" i="1"/>
  <c r="J33" i="1"/>
  <c r="J32" i="1"/>
  <c r="J27" i="1"/>
  <c r="J113" i="1" s="1"/>
  <c r="J26" i="1"/>
  <c r="J34" i="1"/>
  <c r="J29" i="1"/>
  <c r="J115" i="1" s="1"/>
  <c r="J28" i="1"/>
  <c r="J114" i="1" s="1"/>
  <c r="L7" i="1"/>
  <c r="H152" i="1" l="1"/>
  <c r="I117" i="1"/>
  <c r="K99" i="1"/>
  <c r="K116" i="1" s="1"/>
  <c r="K149" i="1"/>
  <c r="J112" i="1"/>
  <c r="J105" i="1"/>
  <c r="J107" i="1" s="1"/>
  <c r="L84" i="1"/>
  <c r="K161" i="1"/>
  <c r="K111" i="1"/>
  <c r="K104" i="1"/>
  <c r="J99" i="1"/>
  <c r="J116" i="1" s="1"/>
  <c r="J149" i="1"/>
  <c r="J101" i="1"/>
  <c r="J100" i="1"/>
  <c r="J36" i="1"/>
  <c r="J70" i="1"/>
  <c r="K65" i="1" s="1"/>
  <c r="J119" i="1"/>
  <c r="J128" i="1" s="1"/>
  <c r="I75" i="1"/>
  <c r="I150" i="1" s="1"/>
  <c r="I152" i="1" s="1"/>
  <c r="K35" i="1"/>
  <c r="L9" i="1"/>
  <c r="L10" i="1" s="1"/>
  <c r="K66" i="1"/>
  <c r="K71" i="1" s="1"/>
  <c r="J76" i="1"/>
  <c r="J151" i="1" s="1"/>
  <c r="M58" i="1"/>
  <c r="L64" i="1"/>
  <c r="L69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17" i="1" l="1"/>
  <c r="K112" i="1"/>
  <c r="K117" i="1" s="1"/>
  <c r="K105" i="1"/>
  <c r="K107" i="1" s="1"/>
  <c r="L111" i="1"/>
  <c r="L104" i="1"/>
  <c r="M84" i="1"/>
  <c r="M161" i="1" s="1"/>
  <c r="L161" i="1"/>
  <c r="K101" i="1"/>
  <c r="K100" i="1"/>
  <c r="K70" i="1"/>
  <c r="L65" i="1" s="1"/>
  <c r="K119" i="1"/>
  <c r="K128" i="1" s="1"/>
  <c r="K36" i="1"/>
  <c r="J75" i="1"/>
  <c r="J150" i="1" s="1"/>
  <c r="J152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64" i="1"/>
  <c r="M69" i="1" s="1"/>
  <c r="M74" i="1" s="1"/>
  <c r="L74" i="1"/>
  <c r="M59" i="1"/>
  <c r="L33" i="1"/>
  <c r="L32" i="1"/>
  <c r="L28" i="1"/>
  <c r="L114" i="1" s="1"/>
  <c r="L27" i="1"/>
  <c r="L113" i="1" s="1"/>
  <c r="L26" i="1"/>
  <c r="L34" i="1"/>
  <c r="L29" i="1"/>
  <c r="L115" i="1" s="1"/>
  <c r="L112" i="1" l="1"/>
  <c r="L105" i="1"/>
  <c r="L107" i="1" s="1"/>
  <c r="L99" i="1"/>
  <c r="L116" i="1" s="1"/>
  <c r="L149" i="1"/>
  <c r="M111" i="1"/>
  <c r="M104" i="1"/>
  <c r="M99" i="1"/>
  <c r="M116" i="1" s="1"/>
  <c r="M149" i="1"/>
  <c r="M34" i="1"/>
  <c r="M100" i="1" s="1"/>
  <c r="M29" i="1"/>
  <c r="M115" i="1" s="1"/>
  <c r="M42" i="1"/>
  <c r="M166" i="1" s="1"/>
  <c r="L101" i="1"/>
  <c r="L100" i="1"/>
  <c r="K75" i="1"/>
  <c r="K150" i="1" s="1"/>
  <c r="K152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L119" i="1"/>
  <c r="L128" i="1" s="1"/>
  <c r="M33" i="1"/>
  <c r="L44" i="1"/>
  <c r="L45" i="1" s="1"/>
  <c r="L129" i="1" s="1"/>
  <c r="M66" i="1"/>
  <c r="M71" i="1" s="1"/>
  <c r="M76" i="1" s="1"/>
  <c r="M151" i="1" s="1"/>
  <c r="L76" i="1"/>
  <c r="L151" i="1" s="1"/>
  <c r="L117" i="1" l="1"/>
  <c r="M112" i="1"/>
  <c r="M117" i="1" s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M152" i="1" s="1"/>
  <c r="M119" i="1"/>
  <c r="M128" i="1" s="1"/>
  <c r="F138" i="1"/>
  <c r="G138" i="1"/>
  <c r="H138" i="1"/>
  <c r="I138" i="1"/>
  <c r="J138" i="1"/>
  <c r="K138" i="1"/>
  <c r="L138" i="1"/>
  <c r="M138" i="1"/>
  <c r="D139" i="1"/>
  <c r="E139" i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<sst xmlns="http://schemas.openxmlformats.org/spreadsheetml/2006/main" count="173" uniqueCount="116">
  <si>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</si>
  <si>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</si>
  <si>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</si>
  <si>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</si>
  <si>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</si>
  <si>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</si>
  <si>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</si>
  <si>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</si>
  <si>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</si>
  <si>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</si>
  <si>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</si>
  <si>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</si>
  <si>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</si>
  <si>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</si>
  <si>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</si>
  <si>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</si>
  <si>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</si>
  <si>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</si>
  <si>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</si>
  <si>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</si>
  <si>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</si>
  <si>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</si>
  <si>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</si>
  <si>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</si>
  <si>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</si>
  <si>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</si>
  <si>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</si>
  <si>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</si>
  <si>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</si>
  <si>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</si>
  <si>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</si>
  <si>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</si>
  <si>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</si>
  <si>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</si>
  <si>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</si>
  <si>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</si>
  <si>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</si>
  <si>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</si>
  <si>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</si>
  <si>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</si>
  <si>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</si>
  <si>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</si>
  <si>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</si>
  <si>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</si>
  <si>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</si>
  <si>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</si>
  <si>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</si>
  <si>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</si>
  <si>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</si>
  <si>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</si>
  <si>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</si>
  <si>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</si>
  <si>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</si>
  <si>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</si>
  <si>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</si>
  <si>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</si>
  <si>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</si>
  <si>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</si>
  <si>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</si>
  <si>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</si>
  <si>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</si>
  <si>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</si>
  <si>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</si>
  <si>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</si>
  <si>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</si>
  <si>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</si>
  <si>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</si>
  <si>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</si>
  <si>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</si>
  <si>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</si>
  <si>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</si>
  <si>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</si>
  <si>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</si>
  <si>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</si>
  <si>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</si>
  <si>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</si>
  <si>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</si>
  <si>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</si>
  <si>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</si>
  <si>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</si>
  <si>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</si>
  <si>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</si>
  <si>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</si>
  <si>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</si>
  <si>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</si>
  <si>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</si>
  <si>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</si>
  <si>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</si>
  <si>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</si>
  <si>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</si>
  <si>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</si>
  <si>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</si>
  <si>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</si>
  <si>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</si>
  <si>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</si>
  <si>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</si>
  <si>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</si>
  <si>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</si>
  <si>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</si>
  <si>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</si>
  <si>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</si>
  <si>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</si>
  <si>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</si>
  <si>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</si>
  <si>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</si>
  <si>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</si>
  <si>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</si>
  <si>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</si>
  <si>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</si>
  <si>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</si>
  <si>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</si>
  <si>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</si>
  <si>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</si>
  <si>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</si>
  <si>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</si>
  <si>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Сборка судов на воздушных подушках АО «Сургутское судоремонтное предприятие»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</si>
</sst>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 xr:uid="{76572F62-668C-4EF6-838B-EE1CFC1AA9EF}"/>
    <cellStyle name="Простой" xfId="1" xr:uid="{9DFEA532-4408-4D5B-96FB-AA49FD896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-35.999999999999972</c:v>
                </c:pt>
                <c:pt idx="1">
                  <c:v>-106.89584852258571</c:v>
                </c:pt>
                <c:pt idx="2">
                  <c:v>-92.564439934261614</c:v>
                </c:pt>
                <c:pt idx="3">
                  <c:v>-77.785610389551877</c:v>
                </c:pt>
                <c:pt idx="4">
                  <c:v>-62.547001124665542</c:v>
                </c:pt>
                <c:pt idx="5">
                  <c:v>-24.40507608772117</c:v>
                </c:pt>
                <c:pt idx="6">
                  <c:v>72.998040254746712</c:v>
                </c:pt>
                <c:pt idx="7">
                  <c:v>173.41440125091327</c:v>
                </c:pt>
                <c:pt idx="8">
                  <c:v>277.79160868692651</c:v>
                </c:pt>
                <c:pt idx="9">
                  <c:v>386.28316842038026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-35.999999999999972</c:v>
                </c:pt>
                <c:pt idx="1">
                  <c:v>-97.648563932683231</c:v>
                </c:pt>
                <c:pt idx="2">
                  <c:v>-86.81196008517918</c:v>
                </c:pt>
                <c:pt idx="3">
                  <c:v>-77.094639763187075</c:v>
                </c:pt>
                <c:pt idx="4">
                  <c:v>-68.381915457664249</c:v>
                </c:pt>
                <c:pt idx="5">
                  <c:v>-49.418637689804143</c:v>
                </c:pt>
                <c:pt idx="6">
                  <c:v>-7.3085825671713707</c:v>
                </c:pt>
                <c:pt idx="7">
                  <c:v>30.441646945576167</c:v>
                </c:pt>
                <c:pt idx="8">
                  <c:v>64.562741205518279</c:v>
                </c:pt>
                <c:pt idx="9">
                  <c:v>95.402813661347381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EBAE-9F68-4837-BF4D-EE943A9F936A}">
  <dimension ref="A1:P182"/>
  <sheetViews>
    <sheetView tabSelected="1" zoomScale="110" zoomScaleNormal="110" workbookViewId="0">
      <pane ySplit="2" topLeftCell="A174" activePane="bottomLeft" state="frozen"/>
      <selection pane="bottomLeft" activeCell="I207" sqref="I206:I207"/>
    </sheetView>
  </sheetViews>
  <sheetFormatPr defaultColWidth="8.85546875" defaultRowHeight="12" x14ac:dyDescent="0.2"/>
  <cols>
    <col min="1" max="1" width="32.85546875" style="4" customWidth="1"/>
    <col min="2" max="2" width="8.5703125" style="4" customWidth="1"/>
    <col min="3" max="3" width="8.85546875" style="4"/>
    <col min="4" max="13" width="7.5703125" style="7" customWidth="1"/>
    <col min="14" max="16384" width="8.85546875" style="4"/>
  </cols>
  <sheetData>
    <row r="1" spans="1:16" x14ac:dyDescent="0.2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95.402813661347381</v>
      </c>
    </row>
    <row r="2" spans="1:16" ht="13.5" customHeight="1" x14ac:dyDescent="0.2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0.29862949453519305</v>
      </c>
    </row>
    <row r="4" spans="1:16" x14ac:dyDescent="0.2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">
      <c r="A6" s="4" t="s">
        <v>22</v>
      </c>
      <c r="B6" s="8">
        <v>600</v>
      </c>
      <c r="C6" s="9" t="str">
        <f>CUR_NAME</f>
        <v>млн руб.</v>
      </c>
    </row>
    <row r="7" spans="1:16" x14ac:dyDescent="0.2">
      <c r="A7" s="4" t="s">
        <v>10</v>
      </c>
      <c r="C7" s="9" t="s">
        <v>11</v>
      </c>
      <c r="D7" s="10">
        <v>0.5</v>
      </c>
      <c r="E7" s="10">
        <v>1</v>
      </c>
      <c r="F7" s="10">
        <v>1</v>
      </c>
      <c r="G7" s="10">
        <v>1</v>
      </c>
      <c r="H7" s="10">
        <f t="shared" ref="G7:M8" si="0">G7</f>
        <v>1</v>
      </c>
      <c r="I7" s="10">
        <f t="shared" si="0"/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2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">
      <c r="A10" s="4" t="s">
        <v>13</v>
      </c>
      <c r="D10" s="13">
        <f>$B$6*D7*D9</f>
        <v>312</v>
      </c>
      <c r="E10" s="13">
        <f t="shared" ref="E10:M10" si="3">$B$6*E7*E9</f>
        <v>648.96</v>
      </c>
      <c r="F10" s="13">
        <f t="shared" si="3"/>
        <v>674.91840000000002</v>
      </c>
      <c r="G10" s="13">
        <f t="shared" si="3"/>
        <v>701.91513600000008</v>
      </c>
      <c r="H10" s="13">
        <f t="shared" si="3"/>
        <v>729.99174144000017</v>
      </c>
      <c r="I10" s="13">
        <f t="shared" si="3"/>
        <v>759.19141109760017</v>
      </c>
      <c r="J10" s="13">
        <f t="shared" si="3"/>
        <v>789.55906754150431</v>
      </c>
      <c r="K10" s="13">
        <f t="shared" si="3"/>
        <v>821.14143024316445</v>
      </c>
      <c r="L10" s="13">
        <f t="shared" si="3"/>
        <v>853.98708745289116</v>
      </c>
      <c r="M10" s="13">
        <f t="shared" si="3"/>
        <v>888.14657095100677</v>
      </c>
    </row>
    <row r="12" spans="1:16" s="16" customFormat="1" ht="20.100000000000001" customHeight="1" thickBot="1" x14ac:dyDescent="0.3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">
      <c r="A14" s="4" t="s">
        <v>16</v>
      </c>
      <c r="B14" s="19">
        <v>0.3</v>
      </c>
      <c r="C14" s="9" t="s">
        <v>11</v>
      </c>
      <c r="D14" s="11">
        <f>$B14</f>
        <v>0.3</v>
      </c>
      <c r="E14" s="11">
        <f t="shared" ref="E14:M14" si="5">$B14</f>
        <v>0.3</v>
      </c>
      <c r="F14" s="11">
        <f t="shared" si="5"/>
        <v>0.3</v>
      </c>
      <c r="G14" s="11">
        <f t="shared" si="5"/>
        <v>0.3</v>
      </c>
      <c r="H14" s="11">
        <f t="shared" si="5"/>
        <v>0.3</v>
      </c>
      <c r="I14" s="11">
        <f t="shared" si="5"/>
        <v>0.3</v>
      </c>
      <c r="J14" s="11">
        <f t="shared" si="5"/>
        <v>0.3</v>
      </c>
      <c r="K14" s="11">
        <f t="shared" si="5"/>
        <v>0.3</v>
      </c>
      <c r="L14" s="11">
        <f t="shared" si="5"/>
        <v>0.3</v>
      </c>
      <c r="M14" s="11">
        <f t="shared" si="5"/>
        <v>0.3</v>
      </c>
    </row>
    <row r="15" spans="1:16" x14ac:dyDescent="0.2">
      <c r="A15" s="4" t="s">
        <v>17</v>
      </c>
      <c r="B15" s="19">
        <v>0.5</v>
      </c>
      <c r="C15" s="9" t="s">
        <v>11</v>
      </c>
      <c r="D15" s="11">
        <f t="shared" ref="D15:M22" si="6">$B15</f>
        <v>0.5</v>
      </c>
      <c r="E15" s="11">
        <f t="shared" si="6"/>
        <v>0.5</v>
      </c>
      <c r="F15" s="11">
        <f t="shared" si="6"/>
        <v>0.5</v>
      </c>
      <c r="G15" s="11">
        <f t="shared" si="6"/>
        <v>0.5</v>
      </c>
      <c r="H15" s="11">
        <f t="shared" si="6"/>
        <v>0.5</v>
      </c>
      <c r="I15" s="11">
        <f t="shared" si="6"/>
        <v>0.5</v>
      </c>
      <c r="J15" s="11">
        <f t="shared" si="6"/>
        <v>0.5</v>
      </c>
      <c r="K15" s="11">
        <f t="shared" si="6"/>
        <v>0.5</v>
      </c>
      <c r="L15" s="11">
        <f t="shared" si="6"/>
        <v>0.5</v>
      </c>
      <c r="M15" s="11">
        <f t="shared" si="6"/>
        <v>0.5</v>
      </c>
    </row>
    <row r="16" spans="1:16" x14ac:dyDescent="0.2">
      <c r="A16" s="4" t="s">
        <v>18</v>
      </c>
      <c r="B16" s="19">
        <v>0</v>
      </c>
      <c r="C16" s="9" t="s">
        <v>11</v>
      </c>
      <c r="D16" s="11">
        <f t="shared" si="6"/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si="6"/>
        <v>0</v>
      </c>
      <c r="M16" s="11">
        <f t="shared" si="6"/>
        <v>0</v>
      </c>
    </row>
    <row r="17" spans="1:13" x14ac:dyDescent="0.2">
      <c r="A17" s="4" t="s">
        <v>19</v>
      </c>
      <c r="B17" s="19">
        <v>0.05</v>
      </c>
      <c r="C17" s="9" t="s">
        <v>11</v>
      </c>
      <c r="D17" s="11">
        <f t="shared" si="6"/>
        <v>0.05</v>
      </c>
      <c r="E17" s="11">
        <f t="shared" si="6"/>
        <v>0.05</v>
      </c>
      <c r="F17" s="11">
        <f t="shared" si="6"/>
        <v>0.05</v>
      </c>
      <c r="G17" s="11">
        <f t="shared" si="6"/>
        <v>0.05</v>
      </c>
      <c r="H17" s="11">
        <f t="shared" si="6"/>
        <v>0.05</v>
      </c>
      <c r="I17" s="11">
        <f t="shared" si="6"/>
        <v>0.05</v>
      </c>
      <c r="J17" s="11">
        <f t="shared" si="6"/>
        <v>0.05</v>
      </c>
      <c r="K17" s="11">
        <f t="shared" si="6"/>
        <v>0.05</v>
      </c>
      <c r="L17" s="11">
        <f t="shared" si="6"/>
        <v>0.05</v>
      </c>
      <c r="M17" s="11">
        <f t="shared" si="6"/>
        <v>0.05</v>
      </c>
    </row>
    <row r="18" spans="1:13" x14ac:dyDescent="0.2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4" t="s">
        <v>29</v>
      </c>
      <c r="B20" s="19">
        <v>0.05</v>
      </c>
      <c r="C20" s="9" t="s">
        <v>11</v>
      </c>
      <c r="D20" s="11">
        <f t="shared" si="6"/>
        <v>0.05</v>
      </c>
      <c r="E20" s="11">
        <f t="shared" si="6"/>
        <v>0.05</v>
      </c>
      <c r="F20" s="11">
        <f t="shared" si="6"/>
        <v>0.05</v>
      </c>
      <c r="G20" s="11">
        <f t="shared" si="6"/>
        <v>0.05</v>
      </c>
      <c r="H20" s="11">
        <f t="shared" si="6"/>
        <v>0.05</v>
      </c>
      <c r="I20" s="11">
        <f t="shared" si="6"/>
        <v>0.05</v>
      </c>
      <c r="J20" s="11">
        <f t="shared" si="6"/>
        <v>0.05</v>
      </c>
      <c r="K20" s="11">
        <f t="shared" si="6"/>
        <v>0.05</v>
      </c>
      <c r="L20" s="11">
        <f t="shared" si="6"/>
        <v>0.05</v>
      </c>
      <c r="M20" s="11">
        <f t="shared" si="6"/>
        <v>0.05</v>
      </c>
    </row>
    <row r="21" spans="1:13" x14ac:dyDescent="0.2">
      <c r="A21" s="4" t="s">
        <v>30</v>
      </c>
      <c r="B21" s="19">
        <v>5.5E-2</v>
      </c>
      <c r="C21" s="9" t="s">
        <v>11</v>
      </c>
      <c r="D21" s="11">
        <f t="shared" si="6"/>
        <v>5.5E-2</v>
      </c>
      <c r="E21" s="11">
        <f t="shared" si="6"/>
        <v>5.5E-2</v>
      </c>
      <c r="F21" s="11">
        <f t="shared" si="6"/>
        <v>5.5E-2</v>
      </c>
      <c r="G21" s="11">
        <f t="shared" si="6"/>
        <v>5.5E-2</v>
      </c>
      <c r="H21" s="11">
        <f t="shared" si="6"/>
        <v>5.5E-2</v>
      </c>
      <c r="I21" s="11">
        <f t="shared" si="6"/>
        <v>5.5E-2</v>
      </c>
      <c r="J21" s="11">
        <f t="shared" si="6"/>
        <v>5.5E-2</v>
      </c>
      <c r="K21" s="11">
        <f t="shared" si="6"/>
        <v>5.5E-2</v>
      </c>
      <c r="L21" s="11">
        <f t="shared" si="6"/>
        <v>5.5E-2</v>
      </c>
      <c r="M21" s="11">
        <f t="shared" si="6"/>
        <v>5.5E-2</v>
      </c>
    </row>
    <row r="22" spans="1:13" x14ac:dyDescent="0.2">
      <c r="A22" s="4" t="s">
        <v>28</v>
      </c>
      <c r="B22" s="19">
        <v>0.3</v>
      </c>
      <c r="C22" s="9" t="s">
        <v>11</v>
      </c>
      <c r="D22" s="11">
        <f t="shared" si="6"/>
        <v>0.3</v>
      </c>
      <c r="E22" s="11">
        <f t="shared" si="6"/>
        <v>0.3</v>
      </c>
      <c r="F22" s="11">
        <f t="shared" si="6"/>
        <v>0.3</v>
      </c>
      <c r="G22" s="11">
        <f t="shared" si="6"/>
        <v>0.3</v>
      </c>
      <c r="H22" s="11">
        <f t="shared" si="6"/>
        <v>0.3</v>
      </c>
      <c r="I22" s="11">
        <f t="shared" si="6"/>
        <v>0.3</v>
      </c>
      <c r="J22" s="11">
        <f t="shared" si="6"/>
        <v>0.3</v>
      </c>
      <c r="K22" s="11">
        <f t="shared" si="6"/>
        <v>0.3</v>
      </c>
      <c r="L22" s="11">
        <f t="shared" si="6"/>
        <v>0.3</v>
      </c>
      <c r="M22" s="11">
        <f t="shared" si="6"/>
        <v>0.3</v>
      </c>
    </row>
    <row r="24" spans="1:13" s="16" customFormat="1" ht="20.100000000000001" customHeight="1" thickBot="1" x14ac:dyDescent="0.3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">
      <c r="A26" s="4" t="s">
        <v>16</v>
      </c>
      <c r="C26" s="9" t="str">
        <f>CUR_NAME</f>
        <v>млн руб.</v>
      </c>
      <c r="D26" s="20">
        <f>D$10*D14</f>
        <v>93.6</v>
      </c>
      <c r="E26" s="20">
        <f t="shared" ref="E26:M26" si="8">E$10*E14</f>
        <v>194.68800000000002</v>
      </c>
      <c r="F26" s="20">
        <f>F$10*F14</f>
        <v>202.47551999999999</v>
      </c>
      <c r="G26" s="20">
        <f t="shared" si="8"/>
        <v>210.57454080000002</v>
      </c>
      <c r="H26" s="20">
        <f t="shared" si="8"/>
        <v>218.99752243200004</v>
      </c>
      <c r="I26" s="20">
        <f t="shared" si="8"/>
        <v>227.75742332928004</v>
      </c>
      <c r="J26" s="20">
        <f t="shared" si="8"/>
        <v>236.86772026245129</v>
      </c>
      <c r="K26" s="20">
        <f t="shared" si="8"/>
        <v>246.34242907294933</v>
      </c>
      <c r="L26" s="20">
        <f t="shared" si="8"/>
        <v>256.19612623586733</v>
      </c>
      <c r="M26" s="20">
        <f t="shared" si="8"/>
        <v>266.44397128530204</v>
      </c>
    </row>
    <row r="27" spans="1:13" x14ac:dyDescent="0.2">
      <c r="A27" s="4" t="s">
        <v>17</v>
      </c>
      <c r="C27" s="9" t="str">
        <f>CUR_NAME</f>
        <v>млн руб.</v>
      </c>
      <c r="D27" s="20">
        <f>D$10*D15</f>
        <v>156</v>
      </c>
      <c r="E27" s="20">
        <f t="shared" ref="E27:M27" si="9">E$10*E15</f>
        <v>324.48</v>
      </c>
      <c r="F27" s="20">
        <f t="shared" si="9"/>
        <v>337.45920000000001</v>
      </c>
      <c r="G27" s="20">
        <f t="shared" si="9"/>
        <v>350.95756800000004</v>
      </c>
      <c r="H27" s="20">
        <f t="shared" si="9"/>
        <v>364.99587072000008</v>
      </c>
      <c r="I27" s="20">
        <f t="shared" si="9"/>
        <v>379.59570554880008</v>
      </c>
      <c r="J27" s="20">
        <f t="shared" si="9"/>
        <v>394.77953377075215</v>
      </c>
      <c r="K27" s="20">
        <f t="shared" si="9"/>
        <v>410.57071512158223</v>
      </c>
      <c r="L27" s="20">
        <f t="shared" si="9"/>
        <v>426.99354372644558</v>
      </c>
      <c r="M27" s="20">
        <f t="shared" si="9"/>
        <v>444.07328547550338</v>
      </c>
    </row>
    <row r="28" spans="1:13" x14ac:dyDescent="0.2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</row>
    <row r="29" spans="1:13" x14ac:dyDescent="0.2">
      <c r="A29" s="4" t="s">
        <v>19</v>
      </c>
      <c r="C29" s="9" t="str">
        <f>CUR_NAME</f>
        <v>млн руб.</v>
      </c>
      <c r="D29" s="20">
        <f>D$10*D17</f>
        <v>15.600000000000001</v>
      </c>
      <c r="E29" s="20">
        <f t="shared" ref="E29:M29" si="11">E$10*E17</f>
        <v>32.448</v>
      </c>
      <c r="F29" s="20">
        <f t="shared" si="11"/>
        <v>33.745920000000005</v>
      </c>
      <c r="G29" s="20">
        <f t="shared" si="11"/>
        <v>35.095756800000004</v>
      </c>
      <c r="H29" s="20">
        <f t="shared" si="11"/>
        <v>36.499587072000011</v>
      </c>
      <c r="I29" s="20">
        <f t="shared" si="11"/>
        <v>37.95957055488001</v>
      </c>
      <c r="J29" s="20">
        <f t="shared" si="11"/>
        <v>39.477953377075217</v>
      </c>
      <c r="K29" s="20">
        <f t="shared" si="11"/>
        <v>41.057071512158224</v>
      </c>
      <c r="L29" s="20">
        <f t="shared" si="11"/>
        <v>42.699354372644564</v>
      </c>
      <c r="M29" s="20">
        <f t="shared" si="11"/>
        <v>44.407328547550343</v>
      </c>
    </row>
    <row r="30" spans="1:13" x14ac:dyDescent="0.2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">
      <c r="A32" s="4" t="s">
        <v>29</v>
      </c>
      <c r="C32" s="9" t="str">
        <f>CUR_NAME</f>
        <v>млн руб.</v>
      </c>
      <c r="D32" s="20">
        <f t="shared" ref="D32:M32" si="12">D$10*D20</f>
        <v>15.600000000000001</v>
      </c>
      <c r="E32" s="20">
        <f t="shared" si="12"/>
        <v>32.448</v>
      </c>
      <c r="F32" s="20">
        <f t="shared" si="12"/>
        <v>33.745920000000005</v>
      </c>
      <c r="G32" s="20">
        <f t="shared" si="12"/>
        <v>35.095756800000004</v>
      </c>
      <c r="H32" s="20">
        <f>H$10*H20</f>
        <v>36.499587072000011</v>
      </c>
      <c r="I32" s="20">
        <f t="shared" si="12"/>
        <v>37.95957055488001</v>
      </c>
      <c r="J32" s="20">
        <f t="shared" si="12"/>
        <v>39.477953377075217</v>
      </c>
      <c r="K32" s="20">
        <f t="shared" si="12"/>
        <v>41.057071512158224</v>
      </c>
      <c r="L32" s="20">
        <f t="shared" si="12"/>
        <v>42.699354372644564</v>
      </c>
      <c r="M32" s="20">
        <f t="shared" si="12"/>
        <v>44.407328547550343</v>
      </c>
    </row>
    <row r="33" spans="1:13" x14ac:dyDescent="0.2">
      <c r="A33" s="4" t="s">
        <v>30</v>
      </c>
      <c r="C33" s="9" t="str">
        <f>CUR_NAME</f>
        <v>млн руб.</v>
      </c>
      <c r="D33" s="20">
        <f t="shared" ref="D33:M33" si="13">D$10*D21</f>
        <v>17.16</v>
      </c>
      <c r="E33" s="20">
        <f t="shared" si="13"/>
        <v>35.692800000000005</v>
      </c>
      <c r="F33" s="20">
        <f t="shared" si="13"/>
        <v>37.120511999999998</v>
      </c>
      <c r="G33" s="20">
        <f t="shared" si="13"/>
        <v>38.605332480000001</v>
      </c>
      <c r="H33" s="20">
        <f t="shared" si="13"/>
        <v>40.149545779200011</v>
      </c>
      <c r="I33" s="20">
        <f t="shared" si="13"/>
        <v>41.755527610368013</v>
      </c>
      <c r="J33" s="20">
        <f t="shared" si="13"/>
        <v>43.425748714782735</v>
      </c>
      <c r="K33" s="20">
        <f t="shared" si="13"/>
        <v>45.162778663374048</v>
      </c>
      <c r="L33" s="20">
        <f t="shared" si="13"/>
        <v>46.969289809909014</v>
      </c>
      <c r="M33" s="20">
        <f t="shared" si="13"/>
        <v>48.848061402305369</v>
      </c>
    </row>
    <row r="34" spans="1:13" x14ac:dyDescent="0.2">
      <c r="A34" s="4" t="s">
        <v>28</v>
      </c>
      <c r="C34" s="9" t="str">
        <f>CUR_NAME</f>
        <v>млн руб.</v>
      </c>
      <c r="D34" s="20">
        <f t="shared" ref="D34:M34" si="14">D$10*D22</f>
        <v>93.6</v>
      </c>
      <c r="E34" s="20">
        <f t="shared" si="14"/>
        <v>194.68800000000002</v>
      </c>
      <c r="F34" s="20">
        <f t="shared" si="14"/>
        <v>202.47551999999999</v>
      </c>
      <c r="G34" s="20">
        <f t="shared" si="14"/>
        <v>210.57454080000002</v>
      </c>
      <c r="H34" s="20">
        <f t="shared" si="14"/>
        <v>218.99752243200004</v>
      </c>
      <c r="I34" s="20">
        <f t="shared" si="14"/>
        <v>227.75742332928004</v>
      </c>
      <c r="J34" s="20">
        <f t="shared" si="14"/>
        <v>236.86772026245129</v>
      </c>
      <c r="K34" s="20">
        <f t="shared" si="14"/>
        <v>246.34242907294933</v>
      </c>
      <c r="L34" s="20">
        <f t="shared" si="14"/>
        <v>256.19612623586733</v>
      </c>
      <c r="M34" s="20">
        <f t="shared" si="14"/>
        <v>266.44397128530204</v>
      </c>
    </row>
    <row r="35" spans="1:13" x14ac:dyDescent="0.2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2">
      <c r="A36" s="4" t="s">
        <v>21</v>
      </c>
      <c r="C36" s="9" t="s">
        <v>25</v>
      </c>
      <c r="D36" s="20">
        <f>ROUND(D34*IF($B$4=2,1000,1)/D35/12,0)</f>
        <v>86</v>
      </c>
      <c r="E36" s="20">
        <f t="shared" ref="E36:M36" si="16">ROUND(E34*IF($B$4=2,1000,1)/E35/12,0)</f>
        <v>172</v>
      </c>
      <c r="F36" s="20">
        <f t="shared" si="16"/>
        <v>172</v>
      </c>
      <c r="G36" s="20">
        <f t="shared" si="16"/>
        <v>172</v>
      </c>
      <c r="H36" s="20">
        <f t="shared" si="16"/>
        <v>172</v>
      </c>
      <c r="I36" s="20">
        <f t="shared" si="16"/>
        <v>172</v>
      </c>
      <c r="J36" s="20">
        <f t="shared" si="16"/>
        <v>172</v>
      </c>
      <c r="K36" s="20">
        <f t="shared" si="16"/>
        <v>172</v>
      </c>
      <c r="L36" s="20">
        <f t="shared" si="16"/>
        <v>172</v>
      </c>
      <c r="M36" s="20">
        <f t="shared" si="16"/>
        <v>172</v>
      </c>
    </row>
    <row r="38" spans="1:13" s="16" customFormat="1" ht="20.100000000000001" customHeight="1" thickBot="1" x14ac:dyDescent="0.3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">
      <c r="B39" s="7" t="s">
        <v>35</v>
      </c>
    </row>
    <row r="40" spans="1:13" x14ac:dyDescent="0.2">
      <c r="A40" s="4" t="s">
        <v>32</v>
      </c>
      <c r="B40" s="5">
        <v>30</v>
      </c>
      <c r="C40" s="9" t="str">
        <f>CUR_NAME</f>
        <v>млн руб.</v>
      </c>
      <c r="D40" s="20">
        <f>$B40*D$10/365</f>
        <v>25.643835616438356</v>
      </c>
      <c r="E40" s="20">
        <f t="shared" ref="E40:M40" si="18">$B40*E$10/365</f>
        <v>53.339178082191786</v>
      </c>
      <c r="F40" s="20">
        <f t="shared" si="18"/>
        <v>55.472745205479448</v>
      </c>
      <c r="G40" s="20">
        <f t="shared" si="18"/>
        <v>57.691655013698636</v>
      </c>
      <c r="H40" s="20">
        <f t="shared" si="18"/>
        <v>59.999321214246585</v>
      </c>
      <c r="I40" s="20">
        <f t="shared" si="18"/>
        <v>62.399294062816459</v>
      </c>
      <c r="J40" s="20">
        <f t="shared" si="18"/>
        <v>64.895265825329119</v>
      </c>
      <c r="K40" s="20">
        <f t="shared" si="18"/>
        <v>67.491076458342292</v>
      </c>
      <c r="L40" s="20">
        <f t="shared" si="18"/>
        <v>70.190719516675983</v>
      </c>
      <c r="M40" s="20">
        <f t="shared" si="18"/>
        <v>72.998348297343028</v>
      </c>
    </row>
    <row r="41" spans="1:13" x14ac:dyDescent="0.2">
      <c r="A41" s="4" t="s">
        <v>33</v>
      </c>
      <c r="B41" s="5">
        <v>15</v>
      </c>
      <c r="C41" s="9" t="str">
        <f>CUR_NAME</f>
        <v>млн руб.</v>
      </c>
      <c r="D41" s="20">
        <f t="shared" ref="D41:M42" si="19">$B41*D$10/365</f>
        <v>12.821917808219178</v>
      </c>
      <c r="E41" s="20">
        <f t="shared" si="19"/>
        <v>26.669589041095893</v>
      </c>
      <c r="F41" s="20">
        <f t="shared" si="19"/>
        <v>27.736372602739724</v>
      </c>
      <c r="G41" s="20">
        <f t="shared" si="19"/>
        <v>28.845827506849318</v>
      </c>
      <c r="H41" s="20">
        <f t="shared" si="19"/>
        <v>29.999660607123293</v>
      </c>
      <c r="I41" s="20">
        <f t="shared" si="19"/>
        <v>31.199647031408229</v>
      </c>
      <c r="J41" s="20">
        <f t="shared" si="19"/>
        <v>32.44763291266456</v>
      </c>
      <c r="K41" s="20">
        <f t="shared" si="19"/>
        <v>33.745538229171146</v>
      </c>
      <c r="L41" s="20">
        <f t="shared" si="19"/>
        <v>35.095359758337992</v>
      </c>
      <c r="M41" s="20">
        <f t="shared" si="19"/>
        <v>36.499174148671514</v>
      </c>
    </row>
    <row r="42" spans="1:13" x14ac:dyDescent="0.2">
      <c r="A42" s="4" t="s">
        <v>34</v>
      </c>
      <c r="B42" s="5">
        <v>15</v>
      </c>
      <c r="C42" s="9" t="str">
        <f>CUR_NAME</f>
        <v>млн руб.</v>
      </c>
      <c r="D42" s="20">
        <f t="shared" si="19"/>
        <v>12.821917808219178</v>
      </c>
      <c r="E42" s="20">
        <f t="shared" si="19"/>
        <v>26.669589041095893</v>
      </c>
      <c r="F42" s="20">
        <f t="shared" si="19"/>
        <v>27.736372602739724</v>
      </c>
      <c r="G42" s="20">
        <f t="shared" si="19"/>
        <v>28.845827506849318</v>
      </c>
      <c r="H42" s="20">
        <f t="shared" si="19"/>
        <v>29.999660607123293</v>
      </c>
      <c r="I42" s="20">
        <f t="shared" si="19"/>
        <v>31.199647031408229</v>
      </c>
      <c r="J42" s="20">
        <f t="shared" si="19"/>
        <v>32.44763291266456</v>
      </c>
      <c r="K42" s="20">
        <f t="shared" si="19"/>
        <v>33.745538229171146</v>
      </c>
      <c r="L42" s="20">
        <f t="shared" si="19"/>
        <v>35.095359758337992</v>
      </c>
      <c r="M42" s="20">
        <f t="shared" si="19"/>
        <v>36.499174148671514</v>
      </c>
    </row>
    <row r="44" spans="1:13" x14ac:dyDescent="0.2">
      <c r="A44" s="4" t="s">
        <v>36</v>
      </c>
      <c r="C44" s="9" t="str">
        <f>CUR_NAME</f>
        <v>млн руб.</v>
      </c>
      <c r="D44" s="20">
        <f>D40+D41-D42</f>
        <v>25.643835616438359</v>
      </c>
      <c r="E44" s="20">
        <f>E40+E41-E42</f>
        <v>53.339178082191793</v>
      </c>
      <c r="F44" s="20">
        <f t="shared" ref="F44:M44" si="20">F40+F41-F42</f>
        <v>55.472745205479455</v>
      </c>
      <c r="G44" s="20">
        <f t="shared" si="20"/>
        <v>57.691655013698636</v>
      </c>
      <c r="H44" s="20">
        <f t="shared" si="20"/>
        <v>59.999321214246592</v>
      </c>
      <c r="I44" s="20">
        <f t="shared" si="20"/>
        <v>62.399294062816452</v>
      </c>
      <c r="J44" s="20">
        <f t="shared" si="20"/>
        <v>64.895265825329119</v>
      </c>
      <c r="K44" s="20">
        <f t="shared" si="20"/>
        <v>67.491076458342292</v>
      </c>
      <c r="L44" s="20">
        <f t="shared" si="20"/>
        <v>70.190719516675983</v>
      </c>
      <c r="M44" s="20">
        <f t="shared" si="20"/>
        <v>72.998348297343028</v>
      </c>
    </row>
    <row r="45" spans="1:13" x14ac:dyDescent="0.2">
      <c r="A45" s="4" t="s">
        <v>37</v>
      </c>
      <c r="C45" s="9" t="str">
        <f>CUR_NAME</f>
        <v>млн руб.</v>
      </c>
      <c r="D45" s="20">
        <f>D44</f>
        <v>25.643835616438359</v>
      </c>
      <c r="E45" s="20">
        <f>E44-D44</f>
        <v>27.695342465753434</v>
      </c>
      <c r="F45" s="20">
        <f t="shared" ref="F45:M45" si="21">F44-E44</f>
        <v>2.1335671232876621</v>
      </c>
      <c r="G45" s="20">
        <f t="shared" si="21"/>
        <v>2.2189098082191805</v>
      </c>
      <c r="H45" s="20">
        <f t="shared" si="21"/>
        <v>2.3076662005479562</v>
      </c>
      <c r="I45" s="20">
        <f t="shared" si="21"/>
        <v>2.3999728485698597</v>
      </c>
      <c r="J45" s="20">
        <f t="shared" si="21"/>
        <v>2.4959717625126672</v>
      </c>
      <c r="K45" s="20">
        <f t="shared" si="21"/>
        <v>2.5958106330131727</v>
      </c>
      <c r="L45" s="20">
        <f t="shared" si="21"/>
        <v>2.6996430583336917</v>
      </c>
      <c r="M45" s="20">
        <f t="shared" si="21"/>
        <v>2.807628780667045</v>
      </c>
    </row>
    <row r="47" spans="1:13" s="16" customFormat="1" ht="20.100000000000001" customHeight="1" thickBot="1" x14ac:dyDescent="0.3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">
      <c r="A49" s="4" t="s">
        <v>39</v>
      </c>
      <c r="B49" s="23">
        <f>400/600</f>
        <v>0.66666666666666663</v>
      </c>
    </row>
    <row r="50" spans="1:13" x14ac:dyDescent="0.2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0.7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">
      <c r="A51" s="4" t="s">
        <v>45</v>
      </c>
      <c r="B51" s="25">
        <f>SUM(D51:M51)</f>
        <v>400</v>
      </c>
      <c r="C51" s="9" t="str">
        <f>CUR_NAME</f>
        <v>млн руб.</v>
      </c>
      <c r="D51" s="20">
        <f>$B$49*$B$6*D50</f>
        <v>120</v>
      </c>
      <c r="E51" s="20">
        <f t="shared" ref="E51:M51" si="23">$B$49*$B$6*E50</f>
        <v>280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">
      <c r="A52" s="4" t="s">
        <v>41</v>
      </c>
    </row>
    <row r="53" spans="1:13" x14ac:dyDescent="0.2">
      <c r="A53" s="4" t="s">
        <v>42</v>
      </c>
      <c r="B53" s="26">
        <f>1-B54-B55</f>
        <v>0.35000000000000003</v>
      </c>
      <c r="C53" s="9" t="s">
        <v>11</v>
      </c>
      <c r="D53" s="20">
        <f>D$51*$B53</f>
        <v>42.000000000000007</v>
      </c>
      <c r="E53" s="20">
        <f t="shared" ref="E53:M53" si="24">E$51*$B53</f>
        <v>98.000000000000014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">
      <c r="A54" s="4" t="s">
        <v>43</v>
      </c>
      <c r="B54" s="23">
        <v>0.6</v>
      </c>
      <c r="C54" s="9" t="s">
        <v>11</v>
      </c>
      <c r="D54" s="20">
        <f t="shared" ref="D54:M55" si="25">D$51*$B54</f>
        <v>72</v>
      </c>
      <c r="E54" s="20">
        <f t="shared" si="25"/>
        <v>168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">
      <c r="A55" s="4" t="s">
        <v>44</v>
      </c>
      <c r="B55" s="23">
        <v>0.05</v>
      </c>
      <c r="C55" s="9" t="s">
        <v>11</v>
      </c>
      <c r="D55" s="20">
        <f t="shared" si="25"/>
        <v>6</v>
      </c>
      <c r="E55" s="20">
        <f t="shared" si="25"/>
        <v>14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">
      <c r="A57" s="4" t="s">
        <v>46</v>
      </c>
    </row>
    <row r="58" spans="1:13" x14ac:dyDescent="0.2">
      <c r="A58" s="4" t="s">
        <v>42</v>
      </c>
      <c r="C58" s="9" t="str">
        <f>CUR_NAME</f>
        <v>млн руб.</v>
      </c>
      <c r="D58" s="20">
        <f>D53</f>
        <v>42.000000000000007</v>
      </c>
      <c r="E58" s="20">
        <f>D58+E53</f>
        <v>140.00000000000003</v>
      </c>
      <c r="F58" s="20">
        <f t="shared" ref="F58:M58" si="26">E58+F53</f>
        <v>140.00000000000003</v>
      </c>
      <c r="G58" s="20">
        <f t="shared" si="26"/>
        <v>140.00000000000003</v>
      </c>
      <c r="H58" s="20">
        <f t="shared" si="26"/>
        <v>140.00000000000003</v>
      </c>
      <c r="I58" s="20">
        <f t="shared" si="26"/>
        <v>140.00000000000003</v>
      </c>
      <c r="J58" s="20">
        <f t="shared" si="26"/>
        <v>140.00000000000003</v>
      </c>
      <c r="K58" s="20">
        <f t="shared" si="26"/>
        <v>140.00000000000003</v>
      </c>
      <c r="L58" s="20">
        <f t="shared" si="26"/>
        <v>140.00000000000003</v>
      </c>
      <c r="M58" s="20">
        <f t="shared" si="26"/>
        <v>140.00000000000003</v>
      </c>
    </row>
    <row r="59" spans="1:13" x14ac:dyDescent="0.2">
      <c r="A59" s="4" t="s">
        <v>43</v>
      </c>
      <c r="C59" s="9" t="str">
        <f>CUR_NAME</f>
        <v>млн руб.</v>
      </c>
      <c r="D59" s="20">
        <f t="shared" ref="D59:D60" si="27">D54</f>
        <v>72</v>
      </c>
      <c r="E59" s="20">
        <f t="shared" ref="E59:M59" si="28">D59+E54</f>
        <v>240</v>
      </c>
      <c r="F59" s="20">
        <f t="shared" si="28"/>
        <v>240</v>
      </c>
      <c r="G59" s="20">
        <f t="shared" si="28"/>
        <v>240</v>
      </c>
      <c r="H59" s="20">
        <f t="shared" si="28"/>
        <v>240</v>
      </c>
      <c r="I59" s="20">
        <f t="shared" si="28"/>
        <v>240</v>
      </c>
      <c r="J59" s="20">
        <f t="shared" si="28"/>
        <v>240</v>
      </c>
      <c r="K59" s="20">
        <f t="shared" si="28"/>
        <v>240</v>
      </c>
      <c r="L59" s="20">
        <f t="shared" si="28"/>
        <v>240</v>
      </c>
      <c r="M59" s="20">
        <f t="shared" si="28"/>
        <v>240</v>
      </c>
    </row>
    <row r="60" spans="1:13" x14ac:dyDescent="0.2">
      <c r="A60" s="4" t="s">
        <v>44</v>
      </c>
      <c r="C60" s="9" t="str">
        <f>CUR_NAME</f>
        <v>млн руб.</v>
      </c>
      <c r="D60" s="20">
        <f t="shared" si="27"/>
        <v>6</v>
      </c>
      <c r="E60" s="20">
        <f t="shared" ref="E60:M60" si="29">D60+E55</f>
        <v>20</v>
      </c>
      <c r="F60" s="20">
        <f t="shared" si="29"/>
        <v>20</v>
      </c>
      <c r="G60" s="20">
        <f t="shared" si="29"/>
        <v>20</v>
      </c>
      <c r="H60" s="20">
        <f t="shared" si="29"/>
        <v>20</v>
      </c>
      <c r="I60" s="20">
        <f t="shared" si="29"/>
        <v>20</v>
      </c>
      <c r="J60" s="20">
        <f t="shared" si="29"/>
        <v>20</v>
      </c>
      <c r="K60" s="20">
        <f t="shared" si="29"/>
        <v>20</v>
      </c>
      <c r="L60" s="20">
        <f t="shared" si="29"/>
        <v>20</v>
      </c>
      <c r="M60" s="20">
        <f t="shared" si="29"/>
        <v>20</v>
      </c>
    </row>
    <row r="62" spans="1:13" x14ac:dyDescent="0.2">
      <c r="A62" s="4" t="s">
        <v>47</v>
      </c>
      <c r="B62" s="4">
        <f>MATCH(0, D50:M50, 0)</f>
        <v>3</v>
      </c>
    </row>
    <row r="63" spans="1:13" x14ac:dyDescent="0.2">
      <c r="B63" s="7" t="s">
        <v>56</v>
      </c>
    </row>
    <row r="64" spans="1:13" x14ac:dyDescent="0.2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7.0000000000000018</v>
      </c>
      <c r="G64" s="20">
        <f t="shared" si="30"/>
        <v>7.0000000000000018</v>
      </c>
      <c r="H64" s="20">
        <f t="shared" si="30"/>
        <v>7.0000000000000018</v>
      </c>
      <c r="I64" s="20">
        <f t="shared" si="30"/>
        <v>7.0000000000000018</v>
      </c>
      <c r="J64" s="20">
        <f t="shared" si="30"/>
        <v>7.0000000000000018</v>
      </c>
      <c r="K64" s="20">
        <f t="shared" si="30"/>
        <v>7.0000000000000018</v>
      </c>
      <c r="L64" s="20">
        <f t="shared" si="30"/>
        <v>7.0000000000000018</v>
      </c>
      <c r="M64" s="20">
        <f t="shared" si="30"/>
        <v>7.0000000000000018</v>
      </c>
    </row>
    <row r="65" spans="1:13" x14ac:dyDescent="0.2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24</v>
      </c>
      <c r="G65" s="20">
        <f t="shared" si="32"/>
        <v>24</v>
      </c>
      <c r="H65" s="20">
        <f t="shared" si="32"/>
        <v>24</v>
      </c>
      <c r="I65" s="20">
        <f t="shared" si="32"/>
        <v>24</v>
      </c>
      <c r="J65" s="20">
        <f t="shared" si="32"/>
        <v>24</v>
      </c>
      <c r="K65" s="20">
        <f t="shared" si="32"/>
        <v>24</v>
      </c>
      <c r="L65" s="20">
        <f t="shared" si="32"/>
        <v>24</v>
      </c>
      <c r="M65" s="20">
        <f t="shared" si="32"/>
        <v>24</v>
      </c>
    </row>
    <row r="66" spans="1:13" x14ac:dyDescent="0.2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4</v>
      </c>
      <c r="G66" s="20">
        <f t="shared" si="32"/>
        <v>4</v>
      </c>
      <c r="H66" s="20">
        <f t="shared" si="32"/>
        <v>4</v>
      </c>
      <c r="I66" s="20">
        <f t="shared" si="32"/>
        <v>4</v>
      </c>
      <c r="J66" s="20">
        <f t="shared" si="32"/>
        <v>4</v>
      </c>
      <c r="K66" s="20">
        <f t="shared" si="32"/>
        <v>0</v>
      </c>
      <c r="L66" s="20">
        <f t="shared" si="32"/>
        <v>0</v>
      </c>
      <c r="M66" s="20">
        <f t="shared" si="32"/>
        <v>0</v>
      </c>
    </row>
    <row r="68" spans="1:13" x14ac:dyDescent="0.2">
      <c r="A68" s="4" t="s">
        <v>49</v>
      </c>
    </row>
    <row r="69" spans="1:13" x14ac:dyDescent="0.2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7.0000000000000018</v>
      </c>
      <c r="G69" s="20">
        <f t="shared" si="33"/>
        <v>14.000000000000004</v>
      </c>
      <c r="H69" s="20">
        <f t="shared" si="33"/>
        <v>21.000000000000007</v>
      </c>
      <c r="I69" s="20">
        <f t="shared" si="33"/>
        <v>28.000000000000007</v>
      </c>
      <c r="J69" s="20">
        <f t="shared" si="33"/>
        <v>35.000000000000007</v>
      </c>
      <c r="K69" s="20">
        <f t="shared" si="33"/>
        <v>42.000000000000007</v>
      </c>
      <c r="L69" s="20">
        <f t="shared" si="33"/>
        <v>49.000000000000007</v>
      </c>
      <c r="M69" s="20">
        <f t="shared" si="33"/>
        <v>56.000000000000007</v>
      </c>
    </row>
    <row r="70" spans="1:13" x14ac:dyDescent="0.2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24</v>
      </c>
      <c r="G70" s="20">
        <f t="shared" si="35"/>
        <v>48</v>
      </c>
      <c r="H70" s="20">
        <f t="shared" si="35"/>
        <v>72</v>
      </c>
      <c r="I70" s="20">
        <f t="shared" si="35"/>
        <v>96</v>
      </c>
      <c r="J70" s="20">
        <f t="shared" si="35"/>
        <v>120</v>
      </c>
      <c r="K70" s="20">
        <f t="shared" si="35"/>
        <v>144</v>
      </c>
      <c r="L70" s="20">
        <f t="shared" si="35"/>
        <v>168</v>
      </c>
      <c r="M70" s="20">
        <f t="shared" si="35"/>
        <v>192</v>
      </c>
    </row>
    <row r="71" spans="1:13" x14ac:dyDescent="0.2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4</v>
      </c>
      <c r="G71" s="20">
        <f t="shared" si="35"/>
        <v>8</v>
      </c>
      <c r="H71" s="20">
        <f t="shared" si="35"/>
        <v>12</v>
      </c>
      <c r="I71" s="20">
        <f t="shared" si="35"/>
        <v>16</v>
      </c>
      <c r="J71" s="20">
        <f t="shared" si="35"/>
        <v>20</v>
      </c>
      <c r="K71" s="20">
        <f t="shared" si="35"/>
        <v>20</v>
      </c>
      <c r="L71" s="20">
        <f t="shared" si="35"/>
        <v>20</v>
      </c>
      <c r="M71" s="20">
        <f t="shared" si="35"/>
        <v>20</v>
      </c>
    </row>
    <row r="73" spans="1:13" x14ac:dyDescent="0.2">
      <c r="A73" s="4" t="s">
        <v>48</v>
      </c>
    </row>
    <row r="74" spans="1:13" x14ac:dyDescent="0.2">
      <c r="A74" s="4" t="s">
        <v>42</v>
      </c>
      <c r="C74" s="9" t="str">
        <f>CUR_NAME</f>
        <v>млн руб.</v>
      </c>
      <c r="D74" s="20">
        <f>D58-D69</f>
        <v>42.000000000000007</v>
      </c>
      <c r="E74" s="20">
        <f t="shared" ref="E74:M74" si="36">E58-E69</f>
        <v>140.00000000000003</v>
      </c>
      <c r="F74" s="20">
        <f t="shared" si="36"/>
        <v>133.00000000000003</v>
      </c>
      <c r="G74" s="20">
        <f t="shared" si="36"/>
        <v>126.00000000000003</v>
      </c>
      <c r="H74" s="20">
        <f t="shared" si="36"/>
        <v>119.00000000000003</v>
      </c>
      <c r="I74" s="20">
        <f t="shared" si="36"/>
        <v>112.00000000000003</v>
      </c>
      <c r="J74" s="20">
        <f t="shared" si="36"/>
        <v>105.00000000000003</v>
      </c>
      <c r="K74" s="20">
        <f t="shared" si="36"/>
        <v>98.000000000000028</v>
      </c>
      <c r="L74" s="20">
        <f t="shared" si="36"/>
        <v>91.000000000000028</v>
      </c>
      <c r="M74" s="20">
        <f t="shared" si="36"/>
        <v>84.000000000000028</v>
      </c>
    </row>
    <row r="75" spans="1:13" x14ac:dyDescent="0.2">
      <c r="A75" s="4" t="s">
        <v>43</v>
      </c>
      <c r="C75" s="9" t="str">
        <f>CUR_NAME</f>
        <v>млн руб.</v>
      </c>
      <c r="D75" s="20">
        <f t="shared" ref="D75:M76" si="37">D59-D70</f>
        <v>72</v>
      </c>
      <c r="E75" s="20">
        <f t="shared" si="37"/>
        <v>240</v>
      </c>
      <c r="F75" s="20">
        <f t="shared" si="37"/>
        <v>216</v>
      </c>
      <c r="G75" s="20">
        <f t="shared" si="37"/>
        <v>192</v>
      </c>
      <c r="H75" s="20">
        <f t="shared" si="37"/>
        <v>168</v>
      </c>
      <c r="I75" s="20">
        <f t="shared" si="37"/>
        <v>144</v>
      </c>
      <c r="J75" s="20">
        <f t="shared" si="37"/>
        <v>120</v>
      </c>
      <c r="K75" s="20">
        <f t="shared" si="37"/>
        <v>96</v>
      </c>
      <c r="L75" s="20">
        <f t="shared" si="37"/>
        <v>72</v>
      </c>
      <c r="M75" s="20">
        <f t="shared" si="37"/>
        <v>48</v>
      </c>
    </row>
    <row r="76" spans="1:13" x14ac:dyDescent="0.2">
      <c r="A76" s="4" t="s">
        <v>44</v>
      </c>
      <c r="C76" s="9" t="str">
        <f>CUR_NAME</f>
        <v>млн руб.</v>
      </c>
      <c r="D76" s="20">
        <f t="shared" si="37"/>
        <v>6</v>
      </c>
      <c r="E76" s="20">
        <f t="shared" si="37"/>
        <v>20</v>
      </c>
      <c r="F76" s="20">
        <f t="shared" si="37"/>
        <v>16</v>
      </c>
      <c r="G76" s="20">
        <f t="shared" si="37"/>
        <v>12</v>
      </c>
      <c r="H76" s="20">
        <f t="shared" si="37"/>
        <v>8</v>
      </c>
      <c r="I76" s="20">
        <f t="shared" si="37"/>
        <v>4</v>
      </c>
      <c r="J76" s="20">
        <f t="shared" si="37"/>
        <v>0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">
      <c r="A80" s="4" t="s">
        <v>51</v>
      </c>
      <c r="B80" s="23">
        <v>0.3</v>
      </c>
      <c r="C80" s="9" t="s">
        <v>11</v>
      </c>
    </row>
    <row r="81" spans="1:13" x14ac:dyDescent="0.2">
      <c r="A81" s="4" t="s">
        <v>52</v>
      </c>
      <c r="B81" s="26">
        <f>1-B80</f>
        <v>0.7</v>
      </c>
      <c r="C81" s="9" t="s">
        <v>11</v>
      </c>
    </row>
    <row r="83" spans="1:13" x14ac:dyDescent="0.2">
      <c r="A83" s="4" t="s">
        <v>84</v>
      </c>
      <c r="C83" s="9" t="str">
        <f>CUR_NAME</f>
        <v>млн руб.</v>
      </c>
      <c r="D83" s="7">
        <f>D51*$B$80</f>
        <v>36</v>
      </c>
      <c r="E83" s="7">
        <f t="shared" ref="E83:M83" si="39">E51*$B$80</f>
        <v>84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">
      <c r="A84" s="4" t="s">
        <v>53</v>
      </c>
      <c r="C84" s="9" t="str">
        <f>CUR_NAME</f>
        <v>млн руб.</v>
      </c>
      <c r="D84" s="7">
        <f>D83</f>
        <v>36</v>
      </c>
      <c r="E84" s="7">
        <f>D84+E83</f>
        <v>120</v>
      </c>
      <c r="F84" s="7">
        <f t="shared" ref="F84:M84" si="40">E84+F83</f>
        <v>120</v>
      </c>
      <c r="G84" s="7">
        <f t="shared" si="40"/>
        <v>120</v>
      </c>
      <c r="H84" s="7">
        <f t="shared" si="40"/>
        <v>120</v>
      </c>
      <c r="I84" s="7">
        <f t="shared" si="40"/>
        <v>120</v>
      </c>
      <c r="J84" s="7">
        <f t="shared" si="40"/>
        <v>120</v>
      </c>
      <c r="K84" s="7">
        <f t="shared" si="40"/>
        <v>120</v>
      </c>
      <c r="L84" s="7">
        <f t="shared" si="40"/>
        <v>120</v>
      </c>
      <c r="M84" s="7">
        <f t="shared" si="40"/>
        <v>120</v>
      </c>
    </row>
    <row r="85" spans="1:13" x14ac:dyDescent="0.2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2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13.104151477414247</v>
      </c>
      <c r="F86" s="20">
        <f t="shared" ca="1" si="42"/>
        <v>8.1517930774142471</v>
      </c>
      <c r="G86" s="20">
        <f t="shared" ca="1" si="42"/>
        <v>9.2987066588179186</v>
      </c>
      <c r="H86" s="20">
        <f t="shared" ca="1" si="42"/>
        <v>10.513151540907209</v>
      </c>
      <c r="I86" s="20">
        <f t="shared" ca="1" si="42"/>
        <v>11.798739470602419</v>
      </c>
      <c r="J86" s="20">
        <f t="shared" ca="1" si="42"/>
        <v>12.97981762099611</v>
      </c>
      <c r="K86" s="20">
        <f t="shared" ca="1" si="42"/>
        <v>14.402434325835944</v>
      </c>
      <c r="L86" s="20">
        <f t="shared" ca="1" si="42"/>
        <v>15.215370098869384</v>
      </c>
      <c r="M86" s="20">
        <f t="shared" ca="1" si="42"/>
        <v>16.059837702824158</v>
      </c>
    </row>
    <row r="88" spans="1:13" x14ac:dyDescent="0.2">
      <c r="A88" s="4" t="s">
        <v>57</v>
      </c>
      <c r="C88" s="9" t="str">
        <f>CUR_NAME</f>
        <v>млн руб.</v>
      </c>
      <c r="D88" s="20">
        <f ca="1">IF(D1&lt;$B$62, MAX(-D145+D138,0), 0)</f>
        <v>75.982328767123306</v>
      </c>
      <c r="E88" s="20">
        <f t="shared" ref="E88:M88" ca="1" si="43">IF(E1&lt;$B$62, MAX(-E145+E138,0), 0)</f>
        <v>171.27873655609648</v>
      </c>
      <c r="F88" s="20">
        <f t="shared" si="43"/>
        <v>0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2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4">IF(E1&gt;=$B$62, MIN(MAX(E145-E139,0), E90, (E130-E120+E135)/$B$94+E120), 0)</f>
        <v>0</v>
      </c>
      <c r="F89" s="20">
        <f t="shared" ca="1" si="44"/>
        <v>59.293989675459486</v>
      </c>
      <c r="G89" s="20">
        <f t="shared" ca="1" si="44"/>
        <v>64.49579394116067</v>
      </c>
      <c r="H89" s="20">
        <f t="shared" ca="1" si="44"/>
        <v>70.019482239101748</v>
      </c>
      <c r="I89" s="20">
        <f t="shared" ca="1" si="44"/>
        <v>53.451799467497864</v>
      </c>
      <c r="J89" s="20">
        <f t="shared" ca="1" si="44"/>
        <v>0</v>
      </c>
      <c r="K89" s="20">
        <f t="shared" ca="1" si="44"/>
        <v>0</v>
      </c>
      <c r="L89" s="20">
        <f t="shared" ca="1" si="44"/>
        <v>0</v>
      </c>
      <c r="M89" s="20">
        <f t="shared" ca="1" si="44"/>
        <v>0</v>
      </c>
    </row>
    <row r="90" spans="1:13" x14ac:dyDescent="0.2">
      <c r="A90" s="4" t="s">
        <v>59</v>
      </c>
      <c r="C90" s="9" t="str">
        <f>CUR_NAME</f>
        <v>млн руб.</v>
      </c>
      <c r="D90" s="20">
        <f ca="1">D88</f>
        <v>75.982328767123306</v>
      </c>
      <c r="E90" s="20">
        <f ca="1">D91+E88</f>
        <v>247.26106532321978</v>
      </c>
      <c r="F90" s="20">
        <f t="shared" ref="F90:M90" ca="1" si="45">E91+F88</f>
        <v>247.26106532321978</v>
      </c>
      <c r="G90" s="20">
        <f t="shared" ca="1" si="45"/>
        <v>187.96707564776028</v>
      </c>
      <c r="H90" s="20">
        <f t="shared" ca="1" si="45"/>
        <v>123.47128170659961</v>
      </c>
      <c r="I90" s="20">
        <f t="shared" ca="1" si="45"/>
        <v>53.451799467497864</v>
      </c>
      <c r="J90" s="20">
        <f t="shared" ca="1" si="45"/>
        <v>0</v>
      </c>
      <c r="K90" s="20">
        <f t="shared" ca="1" si="45"/>
        <v>0</v>
      </c>
      <c r="L90" s="20">
        <f t="shared" ca="1" si="45"/>
        <v>0</v>
      </c>
      <c r="M90" s="20">
        <f t="shared" ca="1" si="45"/>
        <v>0</v>
      </c>
    </row>
    <row r="91" spans="1:13" x14ac:dyDescent="0.2">
      <c r="A91" s="4" t="s">
        <v>60</v>
      </c>
      <c r="C91" s="9" t="str">
        <f>CUR_NAME</f>
        <v>млн руб.</v>
      </c>
      <c r="D91" s="20">
        <f ca="1">D90-D89</f>
        <v>75.982328767123306</v>
      </c>
      <c r="E91" s="20">
        <f t="shared" ref="E91:M91" ca="1" si="46">E90-E89</f>
        <v>247.26106532321978</v>
      </c>
      <c r="F91" s="20">
        <f t="shared" ca="1" si="46"/>
        <v>187.96707564776028</v>
      </c>
      <c r="G91" s="20">
        <f t="shared" ca="1" si="46"/>
        <v>123.47128170659961</v>
      </c>
      <c r="H91" s="20">
        <f t="shared" ca="1" si="46"/>
        <v>53.451799467497864</v>
      </c>
      <c r="I91" s="20">
        <f t="shared" ca="1" si="46"/>
        <v>0</v>
      </c>
      <c r="J91" s="20">
        <f t="shared" ca="1" si="46"/>
        <v>0</v>
      </c>
      <c r="K91" s="20">
        <f t="shared" ca="1" si="46"/>
        <v>0</v>
      </c>
      <c r="L91" s="20">
        <f t="shared" ca="1" si="46"/>
        <v>0</v>
      </c>
      <c r="M91" s="20">
        <f t="shared" ca="1" si="46"/>
        <v>0</v>
      </c>
    </row>
    <row r="92" spans="1:13" x14ac:dyDescent="0.2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2">
      <c r="A93" s="4" t="s">
        <v>62</v>
      </c>
      <c r="C93" s="9" t="str">
        <f>CUR_NAME</f>
        <v>млн руб.</v>
      </c>
      <c r="D93" s="20">
        <f ca="1">D90*D92</f>
        <v>3.7991164383561653</v>
      </c>
      <c r="E93" s="20">
        <f t="shared" ref="E93:M93" ca="1" si="48">E90*E92</f>
        <v>12.363053266160989</v>
      </c>
      <c r="F93" s="20">
        <f t="shared" ca="1" si="48"/>
        <v>12.363053266160989</v>
      </c>
      <c r="G93" s="20">
        <f t="shared" ca="1" si="48"/>
        <v>9.3983537823880141</v>
      </c>
      <c r="H93" s="20">
        <f t="shared" ca="1" si="48"/>
        <v>6.1735640853299811</v>
      </c>
      <c r="I93" s="20">
        <f t="shared" ca="1" si="48"/>
        <v>2.6725899733748935</v>
      </c>
      <c r="J93" s="20">
        <f t="shared" ca="1" si="48"/>
        <v>0</v>
      </c>
      <c r="K93" s="20">
        <f t="shared" ca="1" si="48"/>
        <v>0</v>
      </c>
      <c r="L93" s="20">
        <f t="shared" ca="1" si="48"/>
        <v>0</v>
      </c>
      <c r="M93" s="20">
        <f t="shared" ca="1" si="48"/>
        <v>0</v>
      </c>
    </row>
    <row r="94" spans="1:13" x14ac:dyDescent="0.2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9">IF(E1&gt;=$B$62, IFERROR((E130-E120+E135)/(-E120-E139), "-"), "-")</f>
        <v>-</v>
      </c>
      <c r="F94" s="12">
        <f t="shared" ca="1" si="49"/>
        <v>1.2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1.6795962578288186</v>
      </c>
      <c r="J94" s="12" t="str">
        <f t="shared" ca="1" si="49"/>
        <v>-</v>
      </c>
      <c r="K94" s="12" t="str">
        <f t="shared" ca="1" si="49"/>
        <v>-</v>
      </c>
      <c r="L94" s="12" t="str">
        <f t="shared" ca="1" si="49"/>
        <v>-</v>
      </c>
      <c r="M94" s="12" t="str">
        <f t="shared" ca="1" si="49"/>
        <v>-</v>
      </c>
    </row>
    <row r="96" spans="1:13" s="16" customFormat="1" ht="20.100000000000001" customHeight="1" thickBot="1" x14ac:dyDescent="0.3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2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8.4153767123287686</v>
      </c>
      <c r="E98" s="20">
        <f t="shared" ref="E98:M98" ca="1" si="51">MAX(E121*$B$98,0)</f>
        <v>16.380189346767807</v>
      </c>
      <c r="F98" s="20">
        <f t="shared" ca="1" si="51"/>
        <v>10.189741346767811</v>
      </c>
      <c r="G98" s="20">
        <f t="shared" ca="1" si="51"/>
        <v>11.623383323522399</v>
      </c>
      <c r="H98" s="20">
        <f t="shared" ca="1" si="51"/>
        <v>13.141439426134012</v>
      </c>
      <c r="I98" s="20">
        <f t="shared" ca="1" si="51"/>
        <v>14.748424338253024</v>
      </c>
      <c r="J98" s="20">
        <f t="shared" ca="1" si="51"/>
        <v>16.224772026245137</v>
      </c>
      <c r="K98" s="20">
        <f t="shared" ca="1" si="51"/>
        <v>18.00304290729493</v>
      </c>
      <c r="L98" s="20">
        <f t="shared" ca="1" si="51"/>
        <v>19.019212623586728</v>
      </c>
      <c r="M98" s="20">
        <f t="shared" ca="1" si="51"/>
        <v>20.074797128530196</v>
      </c>
    </row>
    <row r="99" spans="1:13" x14ac:dyDescent="0.2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0.92400000000000015</v>
      </c>
      <c r="E99" s="20">
        <f t="shared" ref="E99:M99" si="52">E74*$B$99</f>
        <v>3.0800000000000005</v>
      </c>
      <c r="F99" s="20">
        <f t="shared" si="52"/>
        <v>2.9260000000000006</v>
      </c>
      <c r="G99" s="20">
        <f t="shared" si="52"/>
        <v>2.7720000000000007</v>
      </c>
      <c r="H99" s="20">
        <f t="shared" si="52"/>
        <v>2.6180000000000003</v>
      </c>
      <c r="I99" s="20">
        <f t="shared" si="52"/>
        <v>2.4640000000000004</v>
      </c>
      <c r="J99" s="20">
        <f t="shared" si="52"/>
        <v>2.3100000000000005</v>
      </c>
      <c r="K99" s="20">
        <f t="shared" si="52"/>
        <v>2.1560000000000006</v>
      </c>
      <c r="L99" s="20">
        <f t="shared" si="52"/>
        <v>2.0020000000000007</v>
      </c>
      <c r="M99" s="20">
        <f t="shared" si="52"/>
        <v>1.8480000000000005</v>
      </c>
    </row>
    <row r="100" spans="1:13" x14ac:dyDescent="0.2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28.08</v>
      </c>
      <c r="E100" s="20">
        <f t="shared" ref="E100:M100" si="53">E34*$B$100</f>
        <v>58.406400000000005</v>
      </c>
      <c r="F100" s="20">
        <f t="shared" si="53"/>
        <v>60.742655999999997</v>
      </c>
      <c r="G100" s="20">
        <f t="shared" si="53"/>
        <v>63.172362240000005</v>
      </c>
      <c r="H100" s="20">
        <f t="shared" si="53"/>
        <v>65.699256729600009</v>
      </c>
      <c r="I100" s="20">
        <f t="shared" si="53"/>
        <v>68.327226998784013</v>
      </c>
      <c r="J100" s="20">
        <f t="shared" si="53"/>
        <v>71.060316078735383</v>
      </c>
      <c r="K100" s="20">
        <f t="shared" si="53"/>
        <v>73.902728721884799</v>
      </c>
      <c r="L100" s="20">
        <f t="shared" si="53"/>
        <v>76.858837870760198</v>
      </c>
      <c r="M100" s="20">
        <f t="shared" si="53"/>
        <v>79.933191385590604</v>
      </c>
    </row>
    <row r="101" spans="1:13" x14ac:dyDescent="0.2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12.167999999999999</v>
      </c>
      <c r="E101" s="20">
        <f t="shared" ref="E101:M101" si="54">E34*$B$101</f>
        <v>25.309440000000002</v>
      </c>
      <c r="F101" s="20">
        <f t="shared" si="54"/>
        <v>26.321817599999999</v>
      </c>
      <c r="G101" s="20">
        <f t="shared" si="54"/>
        <v>27.374690304000005</v>
      </c>
      <c r="H101" s="20">
        <f t="shared" si="54"/>
        <v>28.469677916160006</v>
      </c>
      <c r="I101" s="20">
        <f t="shared" si="54"/>
        <v>29.608465032806407</v>
      </c>
      <c r="J101" s="20">
        <f t="shared" si="54"/>
        <v>30.79280363411867</v>
      </c>
      <c r="K101" s="20">
        <f t="shared" si="54"/>
        <v>32.024515779483416</v>
      </c>
      <c r="L101" s="20">
        <f t="shared" si="54"/>
        <v>33.305496410662755</v>
      </c>
      <c r="M101" s="20">
        <f t="shared" si="54"/>
        <v>34.637716267089267</v>
      </c>
    </row>
    <row r="102" spans="1:13" x14ac:dyDescent="0.2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">
      <c r="A104" s="4" t="s">
        <v>100</v>
      </c>
      <c r="C104" s="9" t="str">
        <f>CUR_NAME</f>
        <v>млн руб.</v>
      </c>
      <c r="D104" s="20">
        <f>D10*$B$103</f>
        <v>62.400000000000006</v>
      </c>
      <c r="E104" s="20">
        <f t="shared" ref="E104:M104" si="55">E10*$B$103</f>
        <v>129.792</v>
      </c>
      <c r="F104" s="20">
        <f t="shared" si="55"/>
        <v>134.98368000000002</v>
      </c>
      <c r="G104" s="20">
        <f t="shared" si="55"/>
        <v>140.38302720000002</v>
      </c>
      <c r="H104" s="20">
        <f t="shared" si="55"/>
        <v>145.99834828800005</v>
      </c>
      <c r="I104" s="20">
        <f t="shared" si="55"/>
        <v>151.83828221952004</v>
      </c>
      <c r="J104" s="20">
        <f t="shared" si="55"/>
        <v>157.91181350830087</v>
      </c>
      <c r="K104" s="20">
        <f t="shared" si="55"/>
        <v>164.2282860486329</v>
      </c>
      <c r="L104" s="20">
        <f t="shared" si="55"/>
        <v>170.79741749057825</v>
      </c>
      <c r="M104" s="20">
        <f t="shared" si="55"/>
        <v>177.62931419020137</v>
      </c>
    </row>
    <row r="105" spans="1:13" x14ac:dyDescent="0.2">
      <c r="A105" s="4" t="s">
        <v>101</v>
      </c>
      <c r="C105" s="9" t="str">
        <f>CUR_NAME</f>
        <v>млн руб.</v>
      </c>
      <c r="D105" s="20">
        <f>-$B$103*(SUM(D26:D29)-D34)</f>
        <v>-34.32</v>
      </c>
      <c r="E105" s="20">
        <f t="shared" ref="E105:M105" si="56">-$B$103*(SUM(E26:E29)-E34)</f>
        <v>-71.385599999999997</v>
      </c>
      <c r="F105" s="20">
        <f t="shared" si="56"/>
        <v>-74.241023999999996</v>
      </c>
      <c r="G105" s="20">
        <f t="shared" si="56"/>
        <v>-77.210664960000017</v>
      </c>
      <c r="H105" s="20">
        <f t="shared" si="56"/>
        <v>-80.29909155840005</v>
      </c>
      <c r="I105" s="20">
        <f t="shared" si="56"/>
        <v>-83.511055220736012</v>
      </c>
      <c r="J105" s="20">
        <f t="shared" si="56"/>
        <v>-86.851497429565484</v>
      </c>
      <c r="K105" s="20">
        <f t="shared" si="56"/>
        <v>-90.325557326748097</v>
      </c>
      <c r="L105" s="20">
        <f t="shared" si="56"/>
        <v>-93.938579619818029</v>
      </c>
      <c r="M105" s="20">
        <f t="shared" si="56"/>
        <v>-97.696122804610752</v>
      </c>
    </row>
    <row r="106" spans="1:13" x14ac:dyDescent="0.2">
      <c r="A106" s="4" t="s">
        <v>103</v>
      </c>
      <c r="C106" s="9" t="str">
        <f>CUR_NAME</f>
        <v>млн руб.</v>
      </c>
      <c r="D106" s="20">
        <f>-$B$103*SUM(D53:D55)</f>
        <v>-24</v>
      </c>
      <c r="E106" s="20">
        <f t="shared" ref="E106:M106" si="57">-$B$103*SUM(E53:E55)</f>
        <v>-56</v>
      </c>
      <c r="F106" s="20">
        <f t="shared" si="57"/>
        <v>0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2">
      <c r="A107" s="4" t="s">
        <v>104</v>
      </c>
      <c r="C107" s="9" t="str">
        <f>CUR_NAME</f>
        <v>млн руб.</v>
      </c>
      <c r="D107" s="20">
        <f>SUM(D104:D106)</f>
        <v>4.0800000000000054</v>
      </c>
      <c r="E107" s="20">
        <f t="shared" ref="E107:M107" si="58">SUM(E104:E106)</f>
        <v>2.406400000000005</v>
      </c>
      <c r="F107" s="20">
        <f t="shared" si="58"/>
        <v>60.742656000000025</v>
      </c>
      <c r="G107" s="20">
        <f t="shared" si="58"/>
        <v>63.172362239999998</v>
      </c>
      <c r="H107" s="20">
        <f t="shared" si="58"/>
        <v>65.699256729599995</v>
      </c>
      <c r="I107" s="20">
        <f t="shared" si="58"/>
        <v>68.327226998784028</v>
      </c>
      <c r="J107" s="20">
        <f t="shared" si="58"/>
        <v>71.060316078735383</v>
      </c>
      <c r="K107" s="20">
        <f t="shared" si="58"/>
        <v>73.902728721884799</v>
      </c>
      <c r="L107" s="20">
        <f t="shared" si="58"/>
        <v>76.858837870760226</v>
      </c>
      <c r="M107" s="20">
        <f t="shared" si="58"/>
        <v>79.933191385590618</v>
      </c>
    </row>
    <row r="109" spans="1:13" s="16" customFormat="1" ht="20.100000000000001" customHeight="1" thickBot="1" x14ac:dyDescent="0.3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2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312</v>
      </c>
      <c r="E111" s="20">
        <f t="shared" si="60"/>
        <v>648.96</v>
      </c>
      <c r="F111" s="20">
        <f t="shared" si="60"/>
        <v>674.91840000000002</v>
      </c>
      <c r="G111" s="20">
        <f t="shared" si="60"/>
        <v>701.91513600000008</v>
      </c>
      <c r="H111" s="20">
        <f t="shared" si="60"/>
        <v>729.99174144000017</v>
      </c>
      <c r="I111" s="20">
        <f t="shared" si="60"/>
        <v>759.19141109760017</v>
      </c>
      <c r="J111" s="20">
        <f t="shared" si="60"/>
        <v>789.55906754150431</v>
      </c>
      <c r="K111" s="20">
        <f t="shared" si="60"/>
        <v>821.14143024316445</v>
      </c>
      <c r="L111" s="20">
        <f t="shared" si="60"/>
        <v>853.98708745289116</v>
      </c>
      <c r="M111" s="20">
        <f t="shared" si="60"/>
        <v>888.14657095100677</v>
      </c>
    </row>
    <row r="112" spans="1:13" x14ac:dyDescent="0.2">
      <c r="A112" s="4" t="s">
        <v>16</v>
      </c>
      <c r="C112" s="9" t="str">
        <f t="shared" si="59"/>
        <v>млн руб.</v>
      </c>
      <c r="D112" s="20">
        <f t="shared" ref="D112:M112" si="61">-D26</f>
        <v>-93.6</v>
      </c>
      <c r="E112" s="20">
        <f t="shared" si="61"/>
        <v>-194.68800000000002</v>
      </c>
      <c r="F112" s="20">
        <f t="shared" si="61"/>
        <v>-202.47551999999999</v>
      </c>
      <c r="G112" s="20">
        <f t="shared" si="61"/>
        <v>-210.57454080000002</v>
      </c>
      <c r="H112" s="20">
        <f t="shared" si="61"/>
        <v>-218.99752243200004</v>
      </c>
      <c r="I112" s="20">
        <f t="shared" si="61"/>
        <v>-227.75742332928004</v>
      </c>
      <c r="J112" s="20">
        <f t="shared" si="61"/>
        <v>-236.86772026245129</v>
      </c>
      <c r="K112" s="20">
        <f t="shared" si="61"/>
        <v>-246.34242907294933</v>
      </c>
      <c r="L112" s="20">
        <f t="shared" si="61"/>
        <v>-256.19612623586733</v>
      </c>
      <c r="M112" s="20">
        <f t="shared" si="61"/>
        <v>-266.44397128530204</v>
      </c>
    </row>
    <row r="113" spans="1:13" x14ac:dyDescent="0.2">
      <c r="A113" s="4" t="s">
        <v>17</v>
      </c>
      <c r="C113" s="9" t="str">
        <f t="shared" si="59"/>
        <v>млн руб.</v>
      </c>
      <c r="D113" s="20">
        <f>-D27</f>
        <v>-156</v>
      </c>
      <c r="E113" s="20">
        <f t="shared" ref="E113:M113" si="62">-E27</f>
        <v>-324.48</v>
      </c>
      <c r="F113" s="20">
        <f t="shared" si="62"/>
        <v>-337.45920000000001</v>
      </c>
      <c r="G113" s="20">
        <f t="shared" si="62"/>
        <v>-350.95756800000004</v>
      </c>
      <c r="H113" s="20">
        <f t="shared" si="62"/>
        <v>-364.99587072000008</v>
      </c>
      <c r="I113" s="20">
        <f t="shared" si="62"/>
        <v>-379.59570554880008</v>
      </c>
      <c r="J113" s="20">
        <f t="shared" si="62"/>
        <v>-394.77953377075215</v>
      </c>
      <c r="K113" s="20">
        <f t="shared" si="62"/>
        <v>-410.57071512158223</v>
      </c>
      <c r="L113" s="20">
        <f t="shared" si="62"/>
        <v>-426.99354372644558</v>
      </c>
      <c r="M113" s="20">
        <f t="shared" si="62"/>
        <v>-444.07328547550338</v>
      </c>
    </row>
    <row r="114" spans="1:13" x14ac:dyDescent="0.2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0</v>
      </c>
      <c r="F114" s="20">
        <f t="shared" si="63"/>
        <v>0</v>
      </c>
      <c r="G114" s="20">
        <f t="shared" si="63"/>
        <v>0</v>
      </c>
      <c r="H114" s="20">
        <f t="shared" si="63"/>
        <v>0</v>
      </c>
      <c r="I114" s="20">
        <f t="shared" si="63"/>
        <v>0</v>
      </c>
      <c r="J114" s="20">
        <f t="shared" si="63"/>
        <v>0</v>
      </c>
      <c r="K114" s="20">
        <f t="shared" si="63"/>
        <v>0</v>
      </c>
      <c r="L114" s="20">
        <f t="shared" si="63"/>
        <v>0</v>
      </c>
      <c r="M114" s="20">
        <f t="shared" si="63"/>
        <v>0</v>
      </c>
    </row>
    <row r="115" spans="1:13" x14ac:dyDescent="0.2">
      <c r="A115" s="4" t="s">
        <v>19</v>
      </c>
      <c r="C115" s="9" t="str">
        <f t="shared" si="59"/>
        <v>млн руб.</v>
      </c>
      <c r="D115" s="20">
        <f>-D29</f>
        <v>-15.600000000000001</v>
      </c>
      <c r="E115" s="20">
        <f t="shared" ref="E115:M115" si="64">-E29</f>
        <v>-32.448</v>
      </c>
      <c r="F115" s="20">
        <f t="shared" si="64"/>
        <v>-33.745920000000005</v>
      </c>
      <c r="G115" s="20">
        <f t="shared" si="64"/>
        <v>-35.095756800000004</v>
      </c>
      <c r="H115" s="20">
        <f t="shared" si="64"/>
        <v>-36.499587072000011</v>
      </c>
      <c r="I115" s="20">
        <f t="shared" si="64"/>
        <v>-37.95957055488001</v>
      </c>
      <c r="J115" s="20">
        <f t="shared" si="64"/>
        <v>-39.477953377075217</v>
      </c>
      <c r="K115" s="20">
        <f t="shared" si="64"/>
        <v>-41.057071512158224</v>
      </c>
      <c r="L115" s="20">
        <f t="shared" si="64"/>
        <v>-42.699354372644564</v>
      </c>
      <c r="M115" s="20">
        <f t="shared" si="64"/>
        <v>-44.407328547550343</v>
      </c>
    </row>
    <row r="116" spans="1:13" x14ac:dyDescent="0.2">
      <c r="A116" s="4" t="s">
        <v>67</v>
      </c>
      <c r="C116" s="9" t="str">
        <f t="shared" si="59"/>
        <v>млн руб.</v>
      </c>
      <c r="D116" s="20">
        <f t="shared" ref="D116:M116" si="65">-D99</f>
        <v>-0.92400000000000015</v>
      </c>
      <c r="E116" s="20">
        <f t="shared" si="65"/>
        <v>-3.0800000000000005</v>
      </c>
      <c r="F116" s="20">
        <f t="shared" si="65"/>
        <v>-2.9260000000000006</v>
      </c>
      <c r="G116" s="20">
        <f t="shared" si="65"/>
        <v>-2.7720000000000007</v>
      </c>
      <c r="H116" s="20">
        <f t="shared" si="65"/>
        <v>-2.6180000000000003</v>
      </c>
      <c r="I116" s="20">
        <f t="shared" si="65"/>
        <v>-2.4640000000000004</v>
      </c>
      <c r="J116" s="20">
        <f t="shared" si="65"/>
        <v>-2.3100000000000005</v>
      </c>
      <c r="K116" s="20">
        <f t="shared" si="65"/>
        <v>-2.1560000000000006</v>
      </c>
      <c r="L116" s="20">
        <f t="shared" si="65"/>
        <v>-2.0020000000000007</v>
      </c>
      <c r="M116" s="20">
        <f t="shared" si="65"/>
        <v>-1.8480000000000005</v>
      </c>
    </row>
    <row r="117" spans="1:13" x14ac:dyDescent="0.2">
      <c r="A117" s="28" t="s">
        <v>68</v>
      </c>
      <c r="C117" s="9" t="str">
        <f t="shared" si="59"/>
        <v>млн руб.</v>
      </c>
      <c r="D117" s="13">
        <f>SUM(D111:D116)</f>
        <v>45.876000000000005</v>
      </c>
      <c r="E117" s="13">
        <f t="shared" ref="E117:M117" si="66">SUM(E111:E116)</f>
        <v>94.264000000000024</v>
      </c>
      <c r="F117" s="13">
        <f t="shared" si="66"/>
        <v>98.311760000000035</v>
      </c>
      <c r="G117" s="13">
        <f t="shared" si="66"/>
        <v>102.51527040000001</v>
      </c>
      <c r="H117" s="13">
        <f t="shared" si="66"/>
        <v>106.88076121600004</v>
      </c>
      <c r="I117" s="13">
        <f t="shared" si="66"/>
        <v>111.41471166464001</v>
      </c>
      <c r="J117" s="13">
        <f t="shared" si="66"/>
        <v>116.12386013122568</v>
      </c>
      <c r="K117" s="13">
        <f t="shared" si="66"/>
        <v>121.01521453647464</v>
      </c>
      <c r="L117" s="13">
        <f t="shared" si="66"/>
        <v>126.09606311793364</v>
      </c>
      <c r="M117" s="13">
        <f t="shared" si="66"/>
        <v>131.37398564265098</v>
      </c>
    </row>
    <row r="118" spans="1:13" x14ac:dyDescent="0.2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0</v>
      </c>
      <c r="F119" s="20">
        <f t="shared" si="67"/>
        <v>-35</v>
      </c>
      <c r="G119" s="20">
        <f t="shared" si="67"/>
        <v>-35</v>
      </c>
      <c r="H119" s="20">
        <f t="shared" si="67"/>
        <v>-35</v>
      </c>
      <c r="I119" s="20">
        <f t="shared" si="67"/>
        <v>-35</v>
      </c>
      <c r="J119" s="20">
        <f t="shared" si="67"/>
        <v>-35</v>
      </c>
      <c r="K119" s="20">
        <f t="shared" si="67"/>
        <v>-31</v>
      </c>
      <c r="L119" s="20">
        <f t="shared" si="67"/>
        <v>-31</v>
      </c>
      <c r="M119" s="20">
        <f t="shared" si="67"/>
        <v>-31</v>
      </c>
    </row>
    <row r="120" spans="1:13" x14ac:dyDescent="0.2">
      <c r="A120" s="4" t="s">
        <v>70</v>
      </c>
      <c r="C120" s="9" t="str">
        <f>CUR_NAME</f>
        <v>млн руб.</v>
      </c>
      <c r="D120" s="20">
        <f t="shared" ref="D120:M120" ca="1" si="68">-D93</f>
        <v>-3.7991164383561653</v>
      </c>
      <c r="E120" s="20">
        <f t="shared" ca="1" si="68"/>
        <v>-12.363053266160989</v>
      </c>
      <c r="F120" s="20">
        <f t="shared" ca="1" si="68"/>
        <v>-12.363053266160989</v>
      </c>
      <c r="G120" s="20">
        <f t="shared" ca="1" si="68"/>
        <v>-9.3983537823880141</v>
      </c>
      <c r="H120" s="20">
        <f t="shared" ca="1" si="68"/>
        <v>-6.1735640853299811</v>
      </c>
      <c r="I120" s="20">
        <f t="shared" ca="1" si="68"/>
        <v>-2.6725899733748935</v>
      </c>
      <c r="J120" s="20">
        <f t="shared" ca="1" si="68"/>
        <v>0</v>
      </c>
      <c r="K120" s="20">
        <f t="shared" ca="1" si="68"/>
        <v>0</v>
      </c>
      <c r="L120" s="20">
        <f t="shared" ca="1" si="68"/>
        <v>0</v>
      </c>
      <c r="M120" s="20">
        <f t="shared" ca="1" si="68"/>
        <v>0</v>
      </c>
    </row>
    <row r="121" spans="1:13" x14ac:dyDescent="0.2">
      <c r="A121" s="4" t="s">
        <v>71</v>
      </c>
      <c r="C121" s="9" t="str">
        <f>CUR_NAME</f>
        <v>млн руб.</v>
      </c>
      <c r="D121" s="20">
        <f ca="1">SUM(D117:D120)</f>
        <v>42.076883561643839</v>
      </c>
      <c r="E121" s="20">
        <f t="shared" ref="E121:M121" ca="1" si="69">SUM(E117:E120)</f>
        <v>81.900946733839035</v>
      </c>
      <c r="F121" s="20">
        <f t="shared" ca="1" si="69"/>
        <v>50.948706733839046</v>
      </c>
      <c r="G121" s="20">
        <f t="shared" ca="1" si="69"/>
        <v>58.116916617611992</v>
      </c>
      <c r="H121" s="20">
        <f t="shared" ca="1" si="69"/>
        <v>65.707197130670053</v>
      </c>
      <c r="I121" s="20">
        <f t="shared" ca="1" si="69"/>
        <v>73.742121691265112</v>
      </c>
      <c r="J121" s="20">
        <f t="shared" ca="1" si="69"/>
        <v>81.123860131225683</v>
      </c>
      <c r="K121" s="20">
        <f t="shared" ca="1" si="69"/>
        <v>90.015214536474645</v>
      </c>
      <c r="L121" s="20">
        <f t="shared" ca="1" si="69"/>
        <v>95.096063117933639</v>
      </c>
      <c r="M121" s="20">
        <f t="shared" ca="1" si="69"/>
        <v>100.37398564265098</v>
      </c>
    </row>
    <row r="122" spans="1:13" x14ac:dyDescent="0.2">
      <c r="A122" s="4" t="s">
        <v>72</v>
      </c>
      <c r="C122" s="9" t="str">
        <f>CUR_NAME</f>
        <v>млн руб.</v>
      </c>
      <c r="D122" s="20">
        <f t="shared" ref="D122:M122" ca="1" si="70">-D98</f>
        <v>-8.4153767123287686</v>
      </c>
      <c r="E122" s="20">
        <f t="shared" ca="1" si="70"/>
        <v>-16.380189346767807</v>
      </c>
      <c r="F122" s="20">
        <f t="shared" ca="1" si="70"/>
        <v>-10.189741346767811</v>
      </c>
      <c r="G122" s="20">
        <f t="shared" ca="1" si="70"/>
        <v>-11.623383323522399</v>
      </c>
      <c r="H122" s="20">
        <f t="shared" ca="1" si="70"/>
        <v>-13.141439426134012</v>
      </c>
      <c r="I122" s="20">
        <f t="shared" ca="1" si="70"/>
        <v>-14.748424338253024</v>
      </c>
      <c r="J122" s="20">
        <f t="shared" ca="1" si="70"/>
        <v>-16.224772026245137</v>
      </c>
      <c r="K122" s="20">
        <f t="shared" ca="1" si="70"/>
        <v>-18.00304290729493</v>
      </c>
      <c r="L122" s="20">
        <f t="shared" ca="1" si="70"/>
        <v>-19.019212623586728</v>
      </c>
      <c r="M122" s="20">
        <f t="shared" ca="1" si="70"/>
        <v>-20.074797128530196</v>
      </c>
    </row>
    <row r="123" spans="1:13" x14ac:dyDescent="0.2">
      <c r="A123" s="28" t="s">
        <v>73</v>
      </c>
      <c r="C123" s="9" t="str">
        <f>CUR_NAME</f>
        <v>млн руб.</v>
      </c>
      <c r="D123" s="13">
        <f ca="1">SUM(D121:D122)</f>
        <v>33.661506849315074</v>
      </c>
      <c r="E123" s="13">
        <f t="shared" ref="E123:M123" ca="1" si="71">SUM(E121:E122)</f>
        <v>65.520757387071228</v>
      </c>
      <c r="F123" s="13">
        <f t="shared" ca="1" si="71"/>
        <v>40.758965387071235</v>
      </c>
      <c r="G123" s="13">
        <f t="shared" ca="1" si="71"/>
        <v>46.493533294089595</v>
      </c>
      <c r="H123" s="13">
        <f t="shared" ca="1" si="71"/>
        <v>52.56575770453604</v>
      </c>
      <c r="I123" s="13">
        <f t="shared" ca="1" si="71"/>
        <v>58.993697353012088</v>
      </c>
      <c r="J123" s="13">
        <f t="shared" ca="1" si="71"/>
        <v>64.899088104980549</v>
      </c>
      <c r="K123" s="13">
        <f t="shared" ca="1" si="71"/>
        <v>72.012171629179718</v>
      </c>
      <c r="L123" s="13">
        <f t="shared" ca="1" si="71"/>
        <v>76.076850494346914</v>
      </c>
      <c r="M123" s="13">
        <f t="shared" ca="1" si="71"/>
        <v>80.299188514120786</v>
      </c>
    </row>
    <row r="125" spans="1:13" s="16" customFormat="1" ht="20.100000000000001" customHeight="1" thickBot="1" x14ac:dyDescent="0.3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2">
      <c r="A127" s="4" t="s">
        <v>73</v>
      </c>
      <c r="C127" s="9" t="str">
        <f>CUR_NAME</f>
        <v>млн руб.</v>
      </c>
      <c r="D127" s="20">
        <f ca="1">D123</f>
        <v>33.661506849315074</v>
      </c>
      <c r="E127" s="20">
        <f t="shared" ref="E127:M127" ca="1" si="73">E123</f>
        <v>65.520757387071228</v>
      </c>
      <c r="F127" s="20">
        <f t="shared" ca="1" si="73"/>
        <v>40.758965387071235</v>
      </c>
      <c r="G127" s="20">
        <f t="shared" ca="1" si="73"/>
        <v>46.493533294089595</v>
      </c>
      <c r="H127" s="20">
        <f t="shared" ca="1" si="73"/>
        <v>52.56575770453604</v>
      </c>
      <c r="I127" s="20">
        <f t="shared" ca="1" si="73"/>
        <v>58.993697353012088</v>
      </c>
      <c r="J127" s="20">
        <f t="shared" ca="1" si="73"/>
        <v>64.899088104980549</v>
      </c>
      <c r="K127" s="20">
        <f t="shared" ca="1" si="73"/>
        <v>72.012171629179718</v>
      </c>
      <c r="L127" s="20">
        <f t="shared" ca="1" si="73"/>
        <v>76.076850494346914</v>
      </c>
      <c r="M127" s="20">
        <f t="shared" ca="1" si="73"/>
        <v>80.299188514120786</v>
      </c>
    </row>
    <row r="128" spans="1:13" x14ac:dyDescent="0.2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0</v>
      </c>
      <c r="F128" s="20">
        <f t="shared" si="74"/>
        <v>35</v>
      </c>
      <c r="G128" s="20">
        <f t="shared" si="74"/>
        <v>35</v>
      </c>
      <c r="H128" s="20">
        <f t="shared" si="74"/>
        <v>35</v>
      </c>
      <c r="I128" s="20">
        <f t="shared" si="74"/>
        <v>35</v>
      </c>
      <c r="J128" s="20">
        <f t="shared" si="74"/>
        <v>35</v>
      </c>
      <c r="K128" s="20">
        <f t="shared" si="74"/>
        <v>31</v>
      </c>
      <c r="L128" s="20">
        <f t="shared" si="74"/>
        <v>31</v>
      </c>
      <c r="M128" s="20">
        <f t="shared" si="74"/>
        <v>31</v>
      </c>
    </row>
    <row r="129" spans="1:13" x14ac:dyDescent="0.2">
      <c r="A129" s="4" t="s">
        <v>37</v>
      </c>
      <c r="C129" s="9" t="str">
        <f>CUR_NAME</f>
        <v>млн руб.</v>
      </c>
      <c r="D129" s="20">
        <f t="shared" ref="D129:M129" si="75">-D45</f>
        <v>-25.643835616438359</v>
      </c>
      <c r="E129" s="20">
        <f t="shared" si="75"/>
        <v>-27.695342465753434</v>
      </c>
      <c r="F129" s="20">
        <f t="shared" si="75"/>
        <v>-2.1335671232876621</v>
      </c>
      <c r="G129" s="20">
        <f t="shared" si="75"/>
        <v>-2.2189098082191805</v>
      </c>
      <c r="H129" s="20">
        <f t="shared" si="75"/>
        <v>-2.3076662005479562</v>
      </c>
      <c r="I129" s="20">
        <f t="shared" si="75"/>
        <v>-2.3999728485698597</v>
      </c>
      <c r="J129" s="20">
        <f t="shared" si="75"/>
        <v>-2.4959717625126672</v>
      </c>
      <c r="K129" s="20">
        <f t="shared" si="75"/>
        <v>-2.5958106330131727</v>
      </c>
      <c r="L129" s="20">
        <f t="shared" si="75"/>
        <v>-2.6996430583336917</v>
      </c>
      <c r="M129" s="20">
        <f t="shared" si="75"/>
        <v>-2.807628780667045</v>
      </c>
    </row>
    <row r="130" spans="1:13" x14ac:dyDescent="0.2">
      <c r="A130" s="28" t="s">
        <v>79</v>
      </c>
      <c r="C130" s="9" t="str">
        <f>CUR_NAME</f>
        <v>млн руб.</v>
      </c>
      <c r="D130" s="13">
        <f ca="1">SUM(D127:D129)</f>
        <v>8.0176712328767152</v>
      </c>
      <c r="E130" s="13">
        <f t="shared" ref="E130:M130" ca="1" si="76">SUM(E127:E129)</f>
        <v>37.825414921317794</v>
      </c>
      <c r="F130" s="13">
        <f t="shared" ca="1" si="76"/>
        <v>73.62539826378358</v>
      </c>
      <c r="G130" s="13">
        <f t="shared" ca="1" si="76"/>
        <v>79.274623485870407</v>
      </c>
      <c r="H130" s="13">
        <f t="shared" ca="1" si="76"/>
        <v>85.258091503988084</v>
      </c>
      <c r="I130" s="13">
        <f t="shared" ca="1" si="76"/>
        <v>91.593724504442235</v>
      </c>
      <c r="J130" s="13">
        <f t="shared" ca="1" si="76"/>
        <v>97.403116342467882</v>
      </c>
      <c r="K130" s="13">
        <f t="shared" ca="1" si="76"/>
        <v>100.41636099616655</v>
      </c>
      <c r="L130" s="13">
        <f t="shared" ca="1" si="76"/>
        <v>104.37720743601322</v>
      </c>
      <c r="M130" s="13">
        <f t="shared" ca="1" si="76"/>
        <v>108.49155973345374</v>
      </c>
    </row>
    <row r="131" spans="1:13" x14ac:dyDescent="0.2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">
      <c r="A132" s="4" t="s">
        <v>42</v>
      </c>
      <c r="C132" s="9" t="str">
        <f>CUR_NAME</f>
        <v>млн руб.</v>
      </c>
      <c r="D132" s="20">
        <f t="shared" ref="D132:M132" si="77">-D53</f>
        <v>-42.000000000000007</v>
      </c>
      <c r="E132" s="20">
        <f t="shared" si="77"/>
        <v>-98.000000000000014</v>
      </c>
      <c r="F132" s="20">
        <f t="shared" si="77"/>
        <v>0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2">
      <c r="A133" s="4" t="s">
        <v>43</v>
      </c>
      <c r="C133" s="9" t="str">
        <f>CUR_NAME</f>
        <v>млн руб.</v>
      </c>
      <c r="D133" s="20">
        <f>-D54</f>
        <v>-72</v>
      </c>
      <c r="E133" s="20">
        <f t="shared" ref="E133:M133" si="78">-E54</f>
        <v>-168</v>
      </c>
      <c r="F133" s="20">
        <f t="shared" si="78"/>
        <v>0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2">
      <c r="A134" s="4" t="s">
        <v>44</v>
      </c>
      <c r="C134" s="9" t="str">
        <f>CUR_NAME</f>
        <v>млн руб.</v>
      </c>
      <c r="D134" s="20">
        <f>-D55</f>
        <v>-6</v>
      </c>
      <c r="E134" s="20">
        <f t="shared" ref="E134:M134" si="79">-E55</f>
        <v>-14</v>
      </c>
      <c r="F134" s="20">
        <f t="shared" si="79"/>
        <v>0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2">
      <c r="A135" s="28" t="s">
        <v>80</v>
      </c>
      <c r="C135" s="9" t="str">
        <f>CUR_NAME</f>
        <v>млн руб.</v>
      </c>
      <c r="D135" s="13">
        <f>SUM(D132:D134)</f>
        <v>-120</v>
      </c>
      <c r="E135" s="13">
        <f t="shared" ref="E135:M135" si="80">SUM(E132:E134)</f>
        <v>-280</v>
      </c>
      <c r="F135" s="13">
        <f t="shared" si="80"/>
        <v>0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2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">
      <c r="A137" s="4" t="s">
        <v>75</v>
      </c>
      <c r="C137" s="9" t="str">
        <f>CUR_NAME</f>
        <v>млн руб.</v>
      </c>
      <c r="D137" s="20">
        <f t="shared" ref="D137:M137" si="81">D83</f>
        <v>36</v>
      </c>
      <c r="E137" s="20">
        <f t="shared" si="81"/>
        <v>84</v>
      </c>
      <c r="F137" s="20">
        <f t="shared" si="81"/>
        <v>0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2">
      <c r="A138" s="4" t="s">
        <v>76</v>
      </c>
      <c r="C138" s="9" t="str">
        <f>CUR_NAME</f>
        <v>млн руб.</v>
      </c>
      <c r="D138" s="20">
        <f t="shared" ref="D138:M138" ca="1" si="82">D88</f>
        <v>75.982328767123306</v>
      </c>
      <c r="E138" s="20">
        <f t="shared" ca="1" si="82"/>
        <v>171.27873655609648</v>
      </c>
      <c r="F138" s="20">
        <f t="shared" si="82"/>
        <v>0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2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si="83"/>
        <v>0</v>
      </c>
      <c r="F139" s="20">
        <f t="shared" ca="1" si="83"/>
        <v>-59.293989675459486</v>
      </c>
      <c r="G139" s="20">
        <f t="shared" ca="1" si="83"/>
        <v>-64.49579394116067</v>
      </c>
      <c r="H139" s="20">
        <f t="shared" ca="1" si="83"/>
        <v>-70.019482239101748</v>
      </c>
      <c r="I139" s="20">
        <f t="shared" ca="1" si="83"/>
        <v>-53.451799467497864</v>
      </c>
      <c r="J139" s="20">
        <f t="shared" ca="1" si="83"/>
        <v>0</v>
      </c>
      <c r="K139" s="20">
        <f t="shared" ca="1" si="83"/>
        <v>0</v>
      </c>
      <c r="L139" s="20">
        <f t="shared" ca="1" si="83"/>
        <v>0</v>
      </c>
      <c r="M139" s="20">
        <f t="shared" ca="1" si="83"/>
        <v>0</v>
      </c>
    </row>
    <row r="140" spans="1:13" x14ac:dyDescent="0.2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-13.104151477414247</v>
      </c>
      <c r="F140" s="20">
        <f t="shared" ca="1" si="84"/>
        <v>-8.1517930774142471</v>
      </c>
      <c r="G140" s="20">
        <f t="shared" ca="1" si="84"/>
        <v>-9.2987066588179186</v>
      </c>
      <c r="H140" s="20">
        <f t="shared" ca="1" si="84"/>
        <v>-10.513151540907209</v>
      </c>
      <c r="I140" s="20">
        <f t="shared" ca="1" si="84"/>
        <v>-11.798739470602419</v>
      </c>
      <c r="J140" s="20">
        <f t="shared" ca="1" si="84"/>
        <v>-12.97981762099611</v>
      </c>
      <c r="K140" s="20">
        <f t="shared" ca="1" si="84"/>
        <v>-14.402434325835944</v>
      </c>
      <c r="L140" s="20">
        <f t="shared" ca="1" si="84"/>
        <v>-15.215370098869384</v>
      </c>
      <c r="M140" s="20">
        <f t="shared" ca="1" si="84"/>
        <v>-16.059837702824158</v>
      </c>
    </row>
    <row r="141" spans="1:13" x14ac:dyDescent="0.2">
      <c r="A141" s="28" t="s">
        <v>81</v>
      </c>
      <c r="C141" s="9" t="str">
        <f>CUR_NAME</f>
        <v>млн руб.</v>
      </c>
      <c r="D141" s="13">
        <f ca="1">SUM(D137:D140)</f>
        <v>111.98232876712331</v>
      </c>
      <c r="E141" s="13">
        <f t="shared" ref="E141:M141" ca="1" si="85">SUM(E137:E140)</f>
        <v>242.17458507868224</v>
      </c>
      <c r="F141" s="13">
        <f t="shared" ca="1" si="85"/>
        <v>-67.445782752873725</v>
      </c>
      <c r="G141" s="13">
        <f t="shared" ca="1" si="85"/>
        <v>-73.794500599978591</v>
      </c>
      <c r="H141" s="13">
        <f t="shared" ca="1" si="85"/>
        <v>-80.53263378000895</v>
      </c>
      <c r="I141" s="13">
        <f t="shared" ca="1" si="85"/>
        <v>-65.250538938100277</v>
      </c>
      <c r="J141" s="13">
        <f t="shared" ca="1" si="85"/>
        <v>-12.97981762099611</v>
      </c>
      <c r="K141" s="13">
        <f t="shared" ca="1" si="85"/>
        <v>-14.402434325835944</v>
      </c>
      <c r="L141" s="13">
        <f t="shared" ca="1" si="85"/>
        <v>-15.215370098869384</v>
      </c>
      <c r="M141" s="13">
        <f t="shared" ca="1" si="85"/>
        <v>-16.059837702824158</v>
      </c>
    </row>
    <row r="142" spans="1:13" x14ac:dyDescent="0.2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6">F130+F135+F141</f>
        <v>6.1796155109098549</v>
      </c>
      <c r="G143" s="20">
        <f t="shared" ca="1" si="86"/>
        <v>5.4801228858918165</v>
      </c>
      <c r="H143" s="20">
        <f t="shared" ca="1" si="86"/>
        <v>4.7254577239791331</v>
      </c>
      <c r="I143" s="20">
        <f t="shared" ca="1" si="86"/>
        <v>26.343185566341958</v>
      </c>
      <c r="J143" s="20">
        <f t="shared" ca="1" si="86"/>
        <v>84.423298721471767</v>
      </c>
      <c r="K143" s="20">
        <f t="shared" ca="1" si="86"/>
        <v>86.013926670330605</v>
      </c>
      <c r="L143" s="20">
        <f t="shared" ca="1" si="86"/>
        <v>89.161837337143837</v>
      </c>
      <c r="M143" s="20">
        <f t="shared" ca="1" si="86"/>
        <v>92.431722030629587</v>
      </c>
    </row>
    <row r="144" spans="1:13" x14ac:dyDescent="0.2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0</v>
      </c>
      <c r="G144" s="20">
        <f t="shared" ca="1" si="87"/>
        <v>6.1796155109098549</v>
      </c>
      <c r="H144" s="20">
        <f t="shared" ca="1" si="87"/>
        <v>11.659738396801671</v>
      </c>
      <c r="I144" s="20">
        <f t="shared" ca="1" si="87"/>
        <v>16.385196120780805</v>
      </c>
      <c r="J144" s="20">
        <f t="shared" ca="1" si="87"/>
        <v>42.728381687122763</v>
      </c>
      <c r="K144" s="20">
        <f t="shared" ca="1" si="87"/>
        <v>127.15168040859453</v>
      </c>
      <c r="L144" s="20">
        <f t="shared" ca="1" si="87"/>
        <v>213.16560707892512</v>
      </c>
      <c r="M144" s="20">
        <f t="shared" ca="1" si="87"/>
        <v>302.32744441606894</v>
      </c>
    </row>
    <row r="145" spans="1:13" x14ac:dyDescent="0.2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8">SUM(F143:F144)</f>
        <v>6.1796155109098549</v>
      </c>
      <c r="G145" s="20">
        <f t="shared" ca="1" si="88"/>
        <v>11.659738396801671</v>
      </c>
      <c r="H145" s="20">
        <f t="shared" ca="1" si="88"/>
        <v>16.385196120780805</v>
      </c>
      <c r="I145" s="20">
        <f t="shared" ca="1" si="88"/>
        <v>42.728381687122763</v>
      </c>
      <c r="J145" s="20">
        <f t="shared" ca="1" si="88"/>
        <v>127.15168040859453</v>
      </c>
      <c r="K145" s="20">
        <f t="shared" ca="1" si="88"/>
        <v>213.16560707892512</v>
      </c>
      <c r="L145" s="20">
        <f t="shared" ca="1" si="88"/>
        <v>302.32744441606894</v>
      </c>
      <c r="M145" s="20">
        <f t="shared" ca="1" si="88"/>
        <v>394.75916644669854</v>
      </c>
    </row>
    <row r="147" spans="1:13" s="16" customFormat="1" ht="20.100000000000001" customHeight="1" thickBot="1" x14ac:dyDescent="0.3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2">
      <c r="A149" s="4" t="s">
        <v>42</v>
      </c>
      <c r="C149" s="9" t="str">
        <f>CUR_NAME</f>
        <v>млн руб.</v>
      </c>
      <c r="D149" s="20">
        <f t="shared" ref="D149:M149" si="90">D74</f>
        <v>42.000000000000007</v>
      </c>
      <c r="E149" s="20">
        <f t="shared" si="90"/>
        <v>140.00000000000003</v>
      </c>
      <c r="F149" s="20">
        <f t="shared" si="90"/>
        <v>133.00000000000003</v>
      </c>
      <c r="G149" s="20">
        <f t="shared" si="90"/>
        <v>126.00000000000003</v>
      </c>
      <c r="H149" s="20">
        <f t="shared" si="90"/>
        <v>119.00000000000003</v>
      </c>
      <c r="I149" s="20">
        <f t="shared" si="90"/>
        <v>112.00000000000003</v>
      </c>
      <c r="J149" s="20">
        <f t="shared" si="90"/>
        <v>105.00000000000003</v>
      </c>
      <c r="K149" s="20">
        <f t="shared" si="90"/>
        <v>98.000000000000028</v>
      </c>
      <c r="L149" s="20">
        <f t="shared" si="90"/>
        <v>91.000000000000028</v>
      </c>
      <c r="M149" s="20">
        <f t="shared" si="90"/>
        <v>84.000000000000028</v>
      </c>
    </row>
    <row r="150" spans="1:13" x14ac:dyDescent="0.2">
      <c r="A150" s="4" t="s">
        <v>43</v>
      </c>
      <c r="C150" s="9" t="str">
        <f>CUR_NAME</f>
        <v>млн руб.</v>
      </c>
      <c r="D150" s="20">
        <f>D75</f>
        <v>72</v>
      </c>
      <c r="E150" s="20">
        <f t="shared" ref="E150:M150" si="91">E75</f>
        <v>240</v>
      </c>
      <c r="F150" s="20">
        <f t="shared" si="91"/>
        <v>216</v>
      </c>
      <c r="G150" s="20">
        <f t="shared" si="91"/>
        <v>192</v>
      </c>
      <c r="H150" s="20">
        <f t="shared" si="91"/>
        <v>168</v>
      </c>
      <c r="I150" s="20">
        <f t="shared" si="91"/>
        <v>144</v>
      </c>
      <c r="J150" s="20">
        <f t="shared" si="91"/>
        <v>120</v>
      </c>
      <c r="K150" s="20">
        <f t="shared" si="91"/>
        <v>96</v>
      </c>
      <c r="L150" s="20">
        <f t="shared" si="91"/>
        <v>72</v>
      </c>
      <c r="M150" s="20">
        <f t="shared" si="91"/>
        <v>48</v>
      </c>
    </row>
    <row r="151" spans="1:13" x14ac:dyDescent="0.2">
      <c r="A151" s="4" t="s">
        <v>44</v>
      </c>
      <c r="C151" s="9" t="str">
        <f>CUR_NAME</f>
        <v>млн руб.</v>
      </c>
      <c r="D151" s="20">
        <f>D76</f>
        <v>6</v>
      </c>
      <c r="E151" s="20">
        <f t="shared" ref="E151:M151" si="92">E76</f>
        <v>20</v>
      </c>
      <c r="F151" s="20">
        <f t="shared" si="92"/>
        <v>16</v>
      </c>
      <c r="G151" s="20">
        <f t="shared" si="92"/>
        <v>12</v>
      </c>
      <c r="H151" s="20">
        <f t="shared" si="92"/>
        <v>8</v>
      </c>
      <c r="I151" s="20">
        <f t="shared" si="92"/>
        <v>4</v>
      </c>
      <c r="J151" s="20">
        <f t="shared" si="92"/>
        <v>0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2">
      <c r="A152" s="4" t="s">
        <v>88</v>
      </c>
      <c r="C152" s="9" t="str">
        <f>CUR_NAME</f>
        <v>млн руб.</v>
      </c>
      <c r="D152" s="20">
        <f>SUM(D149:D151)</f>
        <v>120</v>
      </c>
      <c r="E152" s="20">
        <f t="shared" ref="E152:M152" si="93">SUM(E149:E151)</f>
        <v>400</v>
      </c>
      <c r="F152" s="20">
        <f t="shared" si="93"/>
        <v>365</v>
      </c>
      <c r="G152" s="20">
        <f t="shared" si="93"/>
        <v>330</v>
      </c>
      <c r="H152" s="20">
        <f t="shared" si="93"/>
        <v>295</v>
      </c>
      <c r="I152" s="20">
        <f t="shared" si="93"/>
        <v>260</v>
      </c>
      <c r="J152" s="20">
        <f t="shared" si="93"/>
        <v>225.00000000000003</v>
      </c>
      <c r="K152" s="20">
        <f t="shared" si="93"/>
        <v>194.00000000000003</v>
      </c>
      <c r="L152" s="20">
        <f t="shared" si="93"/>
        <v>163.00000000000003</v>
      </c>
      <c r="M152" s="20">
        <f t="shared" si="93"/>
        <v>132.00000000000003</v>
      </c>
    </row>
    <row r="153" spans="1:13" x14ac:dyDescent="0.2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">
      <c r="A154" s="4" t="s">
        <v>33</v>
      </c>
      <c r="C154" s="9" t="str">
        <f>CUR_NAME</f>
        <v>млн руб.</v>
      </c>
      <c r="D154" s="20">
        <f t="shared" ref="D154:M154" si="94">D41</f>
        <v>12.821917808219178</v>
      </c>
      <c r="E154" s="20">
        <f t="shared" si="94"/>
        <v>26.669589041095893</v>
      </c>
      <c r="F154" s="20">
        <f t="shared" si="94"/>
        <v>27.736372602739724</v>
      </c>
      <c r="G154" s="20">
        <f t="shared" si="94"/>
        <v>28.845827506849318</v>
      </c>
      <c r="H154" s="20">
        <f t="shared" si="94"/>
        <v>29.999660607123293</v>
      </c>
      <c r="I154" s="20">
        <f t="shared" si="94"/>
        <v>31.199647031408229</v>
      </c>
      <c r="J154" s="20">
        <f t="shared" si="94"/>
        <v>32.44763291266456</v>
      </c>
      <c r="K154" s="20">
        <f t="shared" si="94"/>
        <v>33.745538229171146</v>
      </c>
      <c r="L154" s="20">
        <f t="shared" si="94"/>
        <v>35.095359758337992</v>
      </c>
      <c r="M154" s="20">
        <f t="shared" si="94"/>
        <v>36.499174148671514</v>
      </c>
    </row>
    <row r="155" spans="1:13" x14ac:dyDescent="0.2">
      <c r="A155" s="4" t="s">
        <v>32</v>
      </c>
      <c r="C155" s="9" t="str">
        <f>CUR_NAME</f>
        <v>млн руб.</v>
      </c>
      <c r="D155" s="20">
        <f t="shared" ref="D155:M155" si="95">D40</f>
        <v>25.643835616438356</v>
      </c>
      <c r="E155" s="20">
        <f t="shared" si="95"/>
        <v>53.339178082191786</v>
      </c>
      <c r="F155" s="20">
        <f t="shared" si="95"/>
        <v>55.472745205479448</v>
      </c>
      <c r="G155" s="20">
        <f t="shared" si="95"/>
        <v>57.691655013698636</v>
      </c>
      <c r="H155" s="20">
        <f t="shared" si="95"/>
        <v>59.999321214246585</v>
      </c>
      <c r="I155" s="20">
        <f t="shared" si="95"/>
        <v>62.399294062816459</v>
      </c>
      <c r="J155" s="20">
        <f t="shared" si="95"/>
        <v>64.895265825329119</v>
      </c>
      <c r="K155" s="20">
        <f t="shared" si="95"/>
        <v>67.491076458342292</v>
      </c>
      <c r="L155" s="20">
        <f t="shared" si="95"/>
        <v>70.190719516675983</v>
      </c>
      <c r="M155" s="20">
        <f t="shared" si="95"/>
        <v>72.998348297343028</v>
      </c>
    </row>
    <row r="156" spans="1:13" x14ac:dyDescent="0.2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0</v>
      </c>
      <c r="F156" s="20">
        <f t="shared" ca="1" si="96"/>
        <v>6.1796155109098549</v>
      </c>
      <c r="G156" s="20">
        <f t="shared" ca="1" si="96"/>
        <v>11.659738396801671</v>
      </c>
      <c r="H156" s="20">
        <f t="shared" ca="1" si="96"/>
        <v>16.385196120780805</v>
      </c>
      <c r="I156" s="20">
        <f t="shared" ca="1" si="96"/>
        <v>42.728381687122763</v>
      </c>
      <c r="J156" s="20">
        <f t="shared" ca="1" si="96"/>
        <v>127.15168040859453</v>
      </c>
      <c r="K156" s="20">
        <f t="shared" ca="1" si="96"/>
        <v>213.16560707892512</v>
      </c>
      <c r="L156" s="20">
        <f t="shared" ca="1" si="96"/>
        <v>302.32744441606894</v>
      </c>
      <c r="M156" s="20">
        <f t="shared" ca="1" si="96"/>
        <v>394.75916644669854</v>
      </c>
    </row>
    <row r="157" spans="1:13" x14ac:dyDescent="0.2">
      <c r="A157" s="4" t="s">
        <v>90</v>
      </c>
      <c r="C157" s="9" t="str">
        <f>CUR_NAME</f>
        <v>млн руб.</v>
      </c>
      <c r="D157" s="20">
        <f ca="1">SUM(D154:D156)</f>
        <v>38.465753424657535</v>
      </c>
      <c r="E157" s="20">
        <f t="shared" ref="E157:M157" ca="1" si="97">SUM(E154:E156)</f>
        <v>80.008767123287683</v>
      </c>
      <c r="F157" s="20">
        <f t="shared" ca="1" si="97"/>
        <v>89.388733319129031</v>
      </c>
      <c r="G157" s="20">
        <f t="shared" ca="1" si="97"/>
        <v>98.197220917349625</v>
      </c>
      <c r="H157" s="20">
        <f t="shared" ca="1" si="97"/>
        <v>106.38417794215069</v>
      </c>
      <c r="I157" s="20">
        <f t="shared" ca="1" si="97"/>
        <v>136.32732278134745</v>
      </c>
      <c r="J157" s="20">
        <f t="shared" ca="1" si="97"/>
        <v>224.49457914658819</v>
      </c>
      <c r="K157" s="20">
        <f t="shared" ca="1" si="97"/>
        <v>314.40222176643857</v>
      </c>
      <c r="L157" s="20">
        <f t="shared" ca="1" si="97"/>
        <v>407.61352369108295</v>
      </c>
      <c r="M157" s="20">
        <f t="shared" ca="1" si="97"/>
        <v>504.2566888927131</v>
      </c>
    </row>
    <row r="158" spans="1:13" x14ac:dyDescent="0.2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">
      <c r="A159" s="28" t="s">
        <v>91</v>
      </c>
      <c r="C159" s="9" t="str">
        <f>CUR_NAME</f>
        <v>млн руб.</v>
      </c>
      <c r="D159" s="13">
        <f ca="1">D152+D157</f>
        <v>158.46575342465752</v>
      </c>
      <c r="E159" s="13">
        <f t="shared" ref="E159:M159" ca="1" si="98">E152+E157</f>
        <v>480.00876712328767</v>
      </c>
      <c r="F159" s="13">
        <f t="shared" ca="1" si="98"/>
        <v>454.38873331912902</v>
      </c>
      <c r="G159" s="13">
        <f t="shared" ca="1" si="98"/>
        <v>428.19722091734963</v>
      </c>
      <c r="H159" s="13">
        <f t="shared" ca="1" si="98"/>
        <v>401.3841779421507</v>
      </c>
      <c r="I159" s="13">
        <f t="shared" ca="1" si="98"/>
        <v>396.32732278134745</v>
      </c>
      <c r="J159" s="13">
        <f t="shared" ca="1" si="98"/>
        <v>449.49457914658819</v>
      </c>
      <c r="K159" s="13">
        <f t="shared" ca="1" si="98"/>
        <v>508.40222176643863</v>
      </c>
      <c r="L159" s="13">
        <f t="shared" ca="1" si="98"/>
        <v>570.61352369108295</v>
      </c>
      <c r="M159" s="13">
        <f t="shared" ca="1" si="98"/>
        <v>636.2566888927131</v>
      </c>
    </row>
    <row r="160" spans="1:13" x14ac:dyDescent="0.2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">
      <c r="A161" s="4" t="s">
        <v>92</v>
      </c>
      <c r="C161" s="9" t="str">
        <f>CUR_NAME</f>
        <v>млн руб.</v>
      </c>
      <c r="D161" s="20">
        <f t="shared" ref="D161:M161" si="99">D84</f>
        <v>36</v>
      </c>
      <c r="E161" s="20">
        <f t="shared" si="99"/>
        <v>120</v>
      </c>
      <c r="F161" s="20">
        <f t="shared" si="99"/>
        <v>120</v>
      </c>
      <c r="G161" s="20">
        <f t="shared" si="99"/>
        <v>120</v>
      </c>
      <c r="H161" s="20">
        <f t="shared" si="99"/>
        <v>120</v>
      </c>
      <c r="I161" s="20">
        <f t="shared" si="99"/>
        <v>120</v>
      </c>
      <c r="J161" s="20">
        <f t="shared" si="99"/>
        <v>120</v>
      </c>
      <c r="K161" s="20">
        <f t="shared" si="99"/>
        <v>120</v>
      </c>
      <c r="L161" s="20">
        <f t="shared" si="99"/>
        <v>120</v>
      </c>
      <c r="M161" s="20">
        <f t="shared" si="99"/>
        <v>120</v>
      </c>
    </row>
    <row r="162" spans="1:13" x14ac:dyDescent="0.2">
      <c r="A162" s="4" t="s">
        <v>97</v>
      </c>
      <c r="C162" s="9" t="str">
        <f>CUR_NAME</f>
        <v>млн руб.</v>
      </c>
      <c r="D162" s="20">
        <f ca="1">D123+D140</f>
        <v>33.661506849315074</v>
      </c>
      <c r="E162" s="20">
        <f ca="1">D162+E123+E140</f>
        <v>86.078112758972054</v>
      </c>
      <c r="F162" s="20">
        <f t="shared" ref="F162:M162" ca="1" si="100">E162+F123+F140</f>
        <v>118.68528506862904</v>
      </c>
      <c r="G162" s="20">
        <f t="shared" ca="1" si="100"/>
        <v>155.88011170390072</v>
      </c>
      <c r="H162" s="20">
        <f t="shared" ca="1" si="100"/>
        <v>197.93271786752953</v>
      </c>
      <c r="I162" s="20">
        <f t="shared" ca="1" si="100"/>
        <v>245.12767574993921</v>
      </c>
      <c r="J162" s="20">
        <f t="shared" ca="1" si="100"/>
        <v>297.04694623392362</v>
      </c>
      <c r="K162" s="20">
        <f t="shared" ca="1" si="100"/>
        <v>354.65668353726738</v>
      </c>
      <c r="L162" s="20">
        <f t="shared" ca="1" si="100"/>
        <v>415.51816393274493</v>
      </c>
      <c r="M162" s="20">
        <f t="shared" ca="1" si="100"/>
        <v>479.75751474404154</v>
      </c>
    </row>
    <row r="163" spans="1:13" x14ac:dyDescent="0.2">
      <c r="A163" s="4" t="s">
        <v>93</v>
      </c>
      <c r="C163" s="9" t="str">
        <f>CUR_NAME</f>
        <v>млн руб.</v>
      </c>
      <c r="D163" s="20">
        <f ca="1">SUM(D161:D162)</f>
        <v>69.661506849315074</v>
      </c>
      <c r="E163" s="20">
        <f t="shared" ref="E163:M163" ca="1" si="101">SUM(E161:E162)</f>
        <v>206.07811275897205</v>
      </c>
      <c r="F163" s="20">
        <f t="shared" ca="1" si="101"/>
        <v>238.68528506862904</v>
      </c>
      <c r="G163" s="20">
        <f t="shared" ca="1" si="101"/>
        <v>275.88011170390075</v>
      </c>
      <c r="H163" s="20">
        <f t="shared" ca="1" si="101"/>
        <v>317.9327178675295</v>
      </c>
      <c r="I163" s="20">
        <f t="shared" ca="1" si="101"/>
        <v>365.12767574993921</v>
      </c>
      <c r="J163" s="20">
        <f t="shared" ca="1" si="101"/>
        <v>417.04694623392362</v>
      </c>
      <c r="K163" s="20">
        <f t="shared" ca="1" si="101"/>
        <v>474.65668353726738</v>
      </c>
      <c r="L163" s="20">
        <f t="shared" ca="1" si="101"/>
        <v>535.51816393274498</v>
      </c>
      <c r="M163" s="20">
        <f t="shared" ca="1" si="101"/>
        <v>599.7575147440416</v>
      </c>
    </row>
    <row r="164" spans="1:13" x14ac:dyDescent="0.2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">
      <c r="A165" s="4" t="s">
        <v>94</v>
      </c>
      <c r="C165" s="9" t="str">
        <f>CUR_NAME</f>
        <v>млн руб.</v>
      </c>
      <c r="D165" s="20">
        <f t="shared" ref="D165:M165" ca="1" si="102">D91</f>
        <v>75.982328767123306</v>
      </c>
      <c r="E165" s="20">
        <f t="shared" ca="1" si="102"/>
        <v>247.26106532321978</v>
      </c>
      <c r="F165" s="20">
        <f t="shared" ca="1" si="102"/>
        <v>187.96707564776028</v>
      </c>
      <c r="G165" s="20">
        <f t="shared" ca="1" si="102"/>
        <v>123.47128170659961</v>
      </c>
      <c r="H165" s="20">
        <f t="shared" ca="1" si="102"/>
        <v>53.451799467497864</v>
      </c>
      <c r="I165" s="20">
        <f t="shared" ca="1" si="102"/>
        <v>0</v>
      </c>
      <c r="J165" s="20">
        <f t="shared" ca="1" si="102"/>
        <v>0</v>
      </c>
      <c r="K165" s="20">
        <f t="shared" ca="1" si="102"/>
        <v>0</v>
      </c>
      <c r="L165" s="20">
        <f t="shared" ca="1" si="102"/>
        <v>0</v>
      </c>
      <c r="M165" s="20">
        <f t="shared" ca="1" si="102"/>
        <v>0</v>
      </c>
    </row>
    <row r="166" spans="1:13" x14ac:dyDescent="0.2">
      <c r="A166" s="4" t="s">
        <v>34</v>
      </c>
      <c r="C166" s="9" t="str">
        <f>CUR_NAME</f>
        <v>млн руб.</v>
      </c>
      <c r="D166" s="20">
        <f t="shared" ref="D166:M166" si="103">D42</f>
        <v>12.821917808219178</v>
      </c>
      <c r="E166" s="20">
        <f t="shared" si="103"/>
        <v>26.669589041095893</v>
      </c>
      <c r="F166" s="20">
        <f t="shared" si="103"/>
        <v>27.736372602739724</v>
      </c>
      <c r="G166" s="20">
        <f t="shared" si="103"/>
        <v>28.845827506849318</v>
      </c>
      <c r="H166" s="20">
        <f t="shared" si="103"/>
        <v>29.999660607123293</v>
      </c>
      <c r="I166" s="20">
        <f t="shared" si="103"/>
        <v>31.199647031408229</v>
      </c>
      <c r="J166" s="20">
        <f t="shared" si="103"/>
        <v>32.44763291266456</v>
      </c>
      <c r="K166" s="20">
        <f t="shared" si="103"/>
        <v>33.745538229171146</v>
      </c>
      <c r="L166" s="20">
        <f t="shared" si="103"/>
        <v>35.095359758337992</v>
      </c>
      <c r="M166" s="20">
        <f t="shared" si="103"/>
        <v>36.499174148671514</v>
      </c>
    </row>
    <row r="167" spans="1:13" x14ac:dyDescent="0.2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">
      <c r="A168" s="28" t="s">
        <v>95</v>
      </c>
      <c r="C168" s="9" t="str">
        <f>CUR_NAME</f>
        <v>млн руб.</v>
      </c>
      <c r="D168" s="13">
        <f ca="1">D163+D165+D166</f>
        <v>158.46575342465755</v>
      </c>
      <c r="E168" s="13">
        <f t="shared" ref="E168:M168" ca="1" si="104">E163+E165+E166</f>
        <v>480.00876712328773</v>
      </c>
      <c r="F168" s="13">
        <f t="shared" ca="1" si="104"/>
        <v>454.38873331912907</v>
      </c>
      <c r="G168" s="13">
        <f t="shared" ca="1" si="104"/>
        <v>428.19722091734968</v>
      </c>
      <c r="H168" s="13">
        <f t="shared" ca="1" si="104"/>
        <v>401.38417794215064</v>
      </c>
      <c r="I168" s="13">
        <f t="shared" ca="1" si="104"/>
        <v>396.32732278134745</v>
      </c>
      <c r="J168" s="13">
        <f t="shared" ca="1" si="104"/>
        <v>449.49457914658819</v>
      </c>
      <c r="K168" s="13">
        <f t="shared" ca="1" si="104"/>
        <v>508.40222176643852</v>
      </c>
      <c r="L168" s="13">
        <f t="shared" ca="1" si="104"/>
        <v>570.61352369108295</v>
      </c>
      <c r="M168" s="13">
        <f t="shared" ca="1" si="104"/>
        <v>636.2566888927131</v>
      </c>
    </row>
    <row r="169" spans="1:13" x14ac:dyDescent="0.2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3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2">
      <c r="A173" s="4" t="s">
        <v>105</v>
      </c>
      <c r="C173" s="9" t="str">
        <f>CUR_NAME</f>
        <v>млн руб.</v>
      </c>
      <c r="D173" s="20">
        <f ca="1">D130+D135+D138+D139</f>
        <v>-35.999999999999972</v>
      </c>
      <c r="E173" s="20">
        <f t="shared" ref="E173:M173" ca="1" si="107">E130+E135+E138+E139</f>
        <v>-70.895848522585737</v>
      </c>
      <c r="F173" s="20">
        <f t="shared" ca="1" si="107"/>
        <v>14.331408588324095</v>
      </c>
      <c r="G173" s="20">
        <f t="shared" ca="1" si="107"/>
        <v>14.778829544709737</v>
      </c>
      <c r="H173" s="20">
        <f t="shared" ca="1" si="107"/>
        <v>15.238609264886335</v>
      </c>
      <c r="I173" s="20">
        <f t="shared" ca="1" si="107"/>
        <v>38.141925036944372</v>
      </c>
      <c r="J173" s="20">
        <f t="shared" ca="1" si="107"/>
        <v>97.403116342467882</v>
      </c>
      <c r="K173" s="20">
        <f t="shared" ca="1" si="107"/>
        <v>100.41636099616655</v>
      </c>
      <c r="L173" s="20">
        <f t="shared" ca="1" si="107"/>
        <v>104.37720743601322</v>
      </c>
      <c r="M173" s="20">
        <f t="shared" ca="1" si="107"/>
        <v>108.49155973345374</v>
      </c>
    </row>
    <row r="174" spans="1:13" x14ac:dyDescent="0.2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2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2">
      <c r="A176" s="4" t="s">
        <v>108</v>
      </c>
      <c r="C176" s="9" t="str">
        <f>CUR_NAME</f>
        <v>млн руб.</v>
      </c>
      <c r="D176" s="20">
        <f ca="1">D173*D175</f>
        <v>-35.999999999999972</v>
      </c>
      <c r="E176" s="20">
        <f t="shared" ref="E176:M176" ca="1" si="110">E173*E175</f>
        <v>-61.648563932683253</v>
      </c>
      <c r="F176" s="20">
        <f t="shared" ca="1" si="110"/>
        <v>10.836603847504044</v>
      </c>
      <c r="G176" s="20">
        <f t="shared" ca="1" si="110"/>
        <v>9.7173203219921032</v>
      </c>
      <c r="H176" s="20">
        <f t="shared" ca="1" si="110"/>
        <v>8.7127243055228298</v>
      </c>
      <c r="I176" s="20">
        <f t="shared" ca="1" si="110"/>
        <v>18.963277767860106</v>
      </c>
      <c r="J176" s="20">
        <f t="shared" ca="1" si="110"/>
        <v>42.110055122632772</v>
      </c>
      <c r="K176" s="20">
        <f t="shared" ca="1" si="110"/>
        <v>37.750229512747538</v>
      </c>
      <c r="L176" s="20">
        <f t="shared" ca="1" si="110"/>
        <v>34.121094259942105</v>
      </c>
      <c r="M176" s="20">
        <f t="shared" ca="1" si="110"/>
        <v>30.840072455829098</v>
      </c>
    </row>
    <row r="178" spans="1:13" x14ac:dyDescent="0.2">
      <c r="A178" s="4" t="s">
        <v>109</v>
      </c>
      <c r="B178" s="32">
        <f ca="1">SUM(D176:M176)</f>
        <v>95.402813661347381</v>
      </c>
      <c r="C178" s="9" t="str">
        <f>CUR_NAME</f>
        <v>млн руб.</v>
      </c>
    </row>
    <row r="179" spans="1:13" x14ac:dyDescent="0.2">
      <c r="A179" s="4" t="s">
        <v>110</v>
      </c>
      <c r="B179" s="33">
        <f ca="1">IRR(D173:M173)</f>
        <v>0.29862949453519305</v>
      </c>
      <c r="C179" s="9" t="s">
        <v>11</v>
      </c>
    </row>
    <row r="181" spans="1:13" x14ac:dyDescent="0.2">
      <c r="A181" s="4" t="s">
        <v>111</v>
      </c>
      <c r="C181" s="9" t="str">
        <f>CUR_NAME</f>
        <v>млн руб.</v>
      </c>
      <c r="D181" s="20">
        <f ca="1">D173</f>
        <v>-35.999999999999972</v>
      </c>
      <c r="E181" s="20">
        <f ca="1">D181+E173</f>
        <v>-106.89584852258571</v>
      </c>
      <c r="F181" s="20">
        <f t="shared" ref="F181:M181" ca="1" si="111">E181+F173</f>
        <v>-92.564439934261614</v>
      </c>
      <c r="G181" s="20">
        <f t="shared" ca="1" si="111"/>
        <v>-77.785610389551877</v>
      </c>
      <c r="H181" s="20">
        <f t="shared" ca="1" si="111"/>
        <v>-62.547001124665542</v>
      </c>
      <c r="I181" s="20">
        <f t="shared" ca="1" si="111"/>
        <v>-24.40507608772117</v>
      </c>
      <c r="J181" s="20">
        <f t="shared" ca="1" si="111"/>
        <v>72.998040254746712</v>
      </c>
      <c r="K181" s="20">
        <f t="shared" ca="1" si="111"/>
        <v>173.41440125091327</v>
      </c>
      <c r="L181" s="20">
        <f t="shared" ca="1" si="111"/>
        <v>277.79160868692651</v>
      </c>
      <c r="M181" s="20">
        <f t="shared" ca="1" si="111"/>
        <v>386.28316842038026</v>
      </c>
    </row>
    <row r="182" spans="1:13" x14ac:dyDescent="0.2">
      <c r="A182" s="4" t="s">
        <v>112</v>
      </c>
      <c r="C182" s="9" t="str">
        <f>CUR_NAME</f>
        <v>млн руб.</v>
      </c>
      <c r="D182" s="20">
        <f ca="1">D176</f>
        <v>-35.999999999999972</v>
      </c>
      <c r="E182" s="20">
        <f ca="1">D182+E176</f>
        <v>-97.648563932683231</v>
      </c>
      <c r="F182" s="20">
        <f t="shared" ref="F182:M182" ca="1" si="112">E182+F176</f>
        <v>-86.81196008517918</v>
      </c>
      <c r="G182" s="20">
        <f t="shared" ca="1" si="112"/>
        <v>-77.094639763187075</v>
      </c>
      <c r="H182" s="20">
        <f t="shared" ca="1" si="112"/>
        <v>-68.381915457664249</v>
      </c>
      <c r="I182" s="20">
        <f t="shared" ca="1" si="112"/>
        <v>-49.418637689804143</v>
      </c>
      <c r="J182" s="20">
        <f t="shared" ca="1" si="112"/>
        <v>-7.3085825671713707</v>
      </c>
      <c r="K182" s="20">
        <f t="shared" ca="1" si="112"/>
        <v>30.441646945576167</v>
      </c>
      <c r="L182" s="20">
        <f t="shared" ca="1" si="112"/>
        <v>64.562741205518279</v>
      </c>
      <c r="M182" s="20">
        <f t="shared" ca="1" si="112"/>
        <v>95.402813661347381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Irina Koltsova</cp:lastModifiedBy>
  <dcterms:created xsi:type="dcterms:W3CDTF">2021-10-04T15:31:37Z</dcterms:created>
  <dcterms:modified xsi:type="dcterms:W3CDTF">2021-11-29T05:23:45Z</dcterms:modified>
</cp:coreProperties>
</file>