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na Koltsova\Dropbox (Alt-Invest)\ROVER\ПРОЕКТЫ\++ХМАО_судостроение\+Результат\БП_несамоход транспорт\"/>
    </mc:Choice>
  </mc:AlternateContent>
  <xr:revisionPtr revIDLastSave="0" documentId="13_ncr:1_{988E66BB-D6CE-4904-9C4E-17BB942C3613}" xr6:coauthVersionLast="46" xr6:coauthVersionMax="46" xr10:uidLastSave="{00000000-0000-0000-0000-000000000000}"/>
  <bookViews>
    <workbookView xWindow="-120" yWindow="-120" windowWidth="29040" windowHeight="15840" xr2:uid="{F47D2013-E4C2-45FB-AA58-E9F3640752E1}"/>
  </bookViews>
  <sheets>
    <sheet name="Лист1" sheetId="1" r:id="rId1"/>
  </sheets>
  <definedNames>
    <definedName name="CUR_NAME">Лист1!$C$4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5" i="1" l="1"/>
  <c r="G175" i="1" s="1"/>
  <c r="H175" i="1" s="1"/>
  <c r="I175" i="1" s="1"/>
  <c r="J175" i="1" s="1"/>
  <c r="K175" i="1" s="1"/>
  <c r="L175" i="1" s="1"/>
  <c r="M175" i="1" s="1"/>
  <c r="E175" i="1"/>
  <c r="E174" i="1"/>
  <c r="F174" i="1"/>
  <c r="G174" i="1"/>
  <c r="H174" i="1"/>
  <c r="I174" i="1"/>
  <c r="J174" i="1"/>
  <c r="K174" i="1"/>
  <c r="L174" i="1"/>
  <c r="M174" i="1"/>
  <c r="D174" i="1"/>
  <c r="M171" i="1" l="1"/>
  <c r="L171" i="1"/>
  <c r="K171" i="1"/>
  <c r="J171" i="1"/>
  <c r="I171" i="1"/>
  <c r="H171" i="1"/>
  <c r="G171" i="1"/>
  <c r="F171" i="1"/>
  <c r="E171" i="1"/>
  <c r="D171" i="1"/>
  <c r="M96" i="1"/>
  <c r="L96" i="1"/>
  <c r="K96" i="1"/>
  <c r="J96" i="1"/>
  <c r="I96" i="1"/>
  <c r="H96" i="1"/>
  <c r="G96" i="1"/>
  <c r="F96" i="1"/>
  <c r="E96" i="1"/>
  <c r="D96" i="1"/>
  <c r="M147" i="1"/>
  <c r="L147" i="1"/>
  <c r="K147" i="1"/>
  <c r="J147" i="1"/>
  <c r="I147" i="1"/>
  <c r="H147" i="1"/>
  <c r="G147" i="1"/>
  <c r="F147" i="1"/>
  <c r="E147" i="1"/>
  <c r="D147" i="1"/>
  <c r="M125" i="1"/>
  <c r="L125" i="1"/>
  <c r="K125" i="1"/>
  <c r="J125" i="1"/>
  <c r="I125" i="1"/>
  <c r="H125" i="1"/>
  <c r="G125" i="1"/>
  <c r="F125" i="1"/>
  <c r="E125" i="1"/>
  <c r="D125" i="1"/>
  <c r="M109" i="1" l="1"/>
  <c r="L109" i="1"/>
  <c r="K109" i="1"/>
  <c r="J109" i="1"/>
  <c r="I109" i="1"/>
  <c r="H109" i="1"/>
  <c r="G109" i="1"/>
  <c r="F109" i="1"/>
  <c r="E109" i="1"/>
  <c r="D109" i="1"/>
  <c r="M78" i="1"/>
  <c r="L78" i="1"/>
  <c r="K78" i="1"/>
  <c r="J78" i="1"/>
  <c r="I78" i="1"/>
  <c r="H78" i="1"/>
  <c r="G78" i="1"/>
  <c r="F78" i="1"/>
  <c r="E78" i="1"/>
  <c r="D78" i="1"/>
  <c r="M47" i="1"/>
  <c r="L47" i="1"/>
  <c r="K47" i="1"/>
  <c r="J47" i="1"/>
  <c r="I47" i="1"/>
  <c r="H47" i="1"/>
  <c r="G47" i="1"/>
  <c r="F47" i="1"/>
  <c r="E47" i="1"/>
  <c r="D47" i="1"/>
  <c r="M38" i="1"/>
  <c r="L38" i="1"/>
  <c r="K38" i="1"/>
  <c r="J38" i="1"/>
  <c r="I38" i="1"/>
  <c r="H38" i="1"/>
  <c r="G38" i="1"/>
  <c r="F38" i="1"/>
  <c r="E38" i="1"/>
  <c r="D38" i="1"/>
  <c r="M24" i="1"/>
  <c r="L24" i="1"/>
  <c r="K24" i="1"/>
  <c r="J24" i="1"/>
  <c r="I24" i="1"/>
  <c r="H24" i="1"/>
  <c r="G24" i="1"/>
  <c r="F24" i="1"/>
  <c r="E24" i="1"/>
  <c r="D24" i="1"/>
  <c r="E12" i="1"/>
  <c r="F12" i="1"/>
  <c r="G12" i="1"/>
  <c r="H12" i="1"/>
  <c r="I12" i="1"/>
  <c r="J12" i="1"/>
  <c r="K12" i="1"/>
  <c r="L12" i="1"/>
  <c r="M12" i="1"/>
  <c r="D12" i="1"/>
  <c r="E92" i="1"/>
  <c r="F92" i="1"/>
  <c r="G92" i="1"/>
  <c r="H92" i="1"/>
  <c r="I92" i="1"/>
  <c r="J92" i="1"/>
  <c r="K92" i="1"/>
  <c r="L92" i="1"/>
  <c r="M92" i="1"/>
  <c r="D92" i="1"/>
  <c r="F85" i="1" l="1"/>
  <c r="G85" i="1" s="1"/>
  <c r="H85" i="1" s="1"/>
  <c r="I85" i="1" s="1"/>
  <c r="J85" i="1" s="1"/>
  <c r="K85" i="1" s="1"/>
  <c r="L85" i="1" s="1"/>
  <c r="M85" i="1" s="1"/>
  <c r="B81" i="1" l="1"/>
  <c r="B62" i="1"/>
  <c r="E51" i="1"/>
  <c r="F51" i="1"/>
  <c r="G51" i="1"/>
  <c r="H51" i="1"/>
  <c r="I51" i="1"/>
  <c r="J51" i="1"/>
  <c r="K51" i="1"/>
  <c r="L51" i="1"/>
  <c r="M51" i="1"/>
  <c r="D51" i="1"/>
  <c r="B50" i="1"/>
  <c r="B53" i="1"/>
  <c r="D20" i="1"/>
  <c r="E20" i="1"/>
  <c r="F20" i="1"/>
  <c r="G20" i="1"/>
  <c r="H20" i="1"/>
  <c r="I20" i="1"/>
  <c r="J20" i="1"/>
  <c r="K20" i="1"/>
  <c r="L20" i="1"/>
  <c r="M20" i="1"/>
  <c r="D21" i="1"/>
  <c r="E21" i="1"/>
  <c r="F21" i="1"/>
  <c r="G21" i="1"/>
  <c r="H21" i="1"/>
  <c r="I21" i="1"/>
  <c r="J21" i="1"/>
  <c r="K21" i="1"/>
  <c r="L21" i="1"/>
  <c r="M21" i="1"/>
  <c r="D64" i="1" l="1"/>
  <c r="D69" i="1" s="1"/>
  <c r="E89" i="1"/>
  <c r="D89" i="1"/>
  <c r="E94" i="1"/>
  <c r="G88" i="1"/>
  <c r="K88" i="1"/>
  <c r="M88" i="1"/>
  <c r="F88" i="1"/>
  <c r="H88" i="1"/>
  <c r="J88" i="1"/>
  <c r="L88" i="1"/>
  <c r="D94" i="1"/>
  <c r="I88" i="1"/>
  <c r="D66" i="1"/>
  <c r="D71" i="1" s="1"/>
  <c r="E65" i="1"/>
  <c r="D53" i="1"/>
  <c r="D83" i="1"/>
  <c r="B51" i="1"/>
  <c r="L55" i="1"/>
  <c r="L134" i="1" s="1"/>
  <c r="L83" i="1"/>
  <c r="L137" i="1" s="1"/>
  <c r="H55" i="1"/>
  <c r="H134" i="1" s="1"/>
  <c r="H83" i="1"/>
  <c r="H137" i="1" s="1"/>
  <c r="M54" i="1"/>
  <c r="M133" i="1" s="1"/>
  <c r="M83" i="1"/>
  <c r="M137" i="1" s="1"/>
  <c r="E64" i="1"/>
  <c r="E69" i="1" s="1"/>
  <c r="J53" i="1"/>
  <c r="J83" i="1"/>
  <c r="J137" i="1" s="1"/>
  <c r="G53" i="1"/>
  <c r="G83" i="1"/>
  <c r="G137" i="1" s="1"/>
  <c r="F55" i="1"/>
  <c r="F134" i="1" s="1"/>
  <c r="F83" i="1"/>
  <c r="F137" i="1" s="1"/>
  <c r="D65" i="1"/>
  <c r="K54" i="1"/>
  <c r="K133" i="1" s="1"/>
  <c r="K83" i="1"/>
  <c r="K137" i="1" s="1"/>
  <c r="I53" i="1"/>
  <c r="I83" i="1"/>
  <c r="I137" i="1" s="1"/>
  <c r="E54" i="1"/>
  <c r="E133" i="1" s="1"/>
  <c r="E83" i="1"/>
  <c r="E137" i="1" s="1"/>
  <c r="E66" i="1"/>
  <c r="H54" i="1"/>
  <c r="H133" i="1" s="1"/>
  <c r="H53" i="1"/>
  <c r="E53" i="1"/>
  <c r="D55" i="1"/>
  <c r="L54" i="1"/>
  <c r="L133" i="1" s="1"/>
  <c r="J54" i="1"/>
  <c r="J133" i="1" s="1"/>
  <c r="D54" i="1"/>
  <c r="E55" i="1"/>
  <c r="E134" i="1" s="1"/>
  <c r="I54" i="1"/>
  <c r="I133" i="1" s="1"/>
  <c r="G54" i="1"/>
  <c r="G133" i="1" s="1"/>
  <c r="M55" i="1"/>
  <c r="M134" i="1" s="1"/>
  <c r="I55" i="1"/>
  <c r="I134" i="1" s="1"/>
  <c r="M53" i="1"/>
  <c r="J55" i="1"/>
  <c r="J134" i="1" s="1"/>
  <c r="L53" i="1"/>
  <c r="K55" i="1"/>
  <c r="K134" i="1" s="1"/>
  <c r="K53" i="1"/>
  <c r="G55" i="1"/>
  <c r="G134" i="1" s="1"/>
  <c r="F53" i="1"/>
  <c r="F54" i="1"/>
  <c r="F133" i="1" s="1"/>
  <c r="C4" i="1"/>
  <c r="E14" i="1"/>
  <c r="F14" i="1"/>
  <c r="G14" i="1"/>
  <c r="H14" i="1"/>
  <c r="I14" i="1"/>
  <c r="J14" i="1"/>
  <c r="K14" i="1"/>
  <c r="L14" i="1"/>
  <c r="M14" i="1"/>
  <c r="E15" i="1"/>
  <c r="F15" i="1"/>
  <c r="G15" i="1"/>
  <c r="H15" i="1"/>
  <c r="I15" i="1"/>
  <c r="J15" i="1"/>
  <c r="K15" i="1"/>
  <c r="L15" i="1"/>
  <c r="M15" i="1"/>
  <c r="E16" i="1"/>
  <c r="F16" i="1"/>
  <c r="G16" i="1"/>
  <c r="H16" i="1"/>
  <c r="I16" i="1"/>
  <c r="J16" i="1"/>
  <c r="K16" i="1"/>
  <c r="L16" i="1"/>
  <c r="M16" i="1"/>
  <c r="E17" i="1"/>
  <c r="F17" i="1"/>
  <c r="G17" i="1"/>
  <c r="H17" i="1"/>
  <c r="I17" i="1"/>
  <c r="J17" i="1"/>
  <c r="K17" i="1"/>
  <c r="L17" i="1"/>
  <c r="M17" i="1"/>
  <c r="E22" i="1"/>
  <c r="F22" i="1"/>
  <c r="G22" i="1"/>
  <c r="H22" i="1"/>
  <c r="I22" i="1"/>
  <c r="J22" i="1"/>
  <c r="K22" i="1"/>
  <c r="L22" i="1"/>
  <c r="M22" i="1"/>
  <c r="D15" i="1"/>
  <c r="D16" i="1"/>
  <c r="D17" i="1"/>
  <c r="D22" i="1"/>
  <c r="D14" i="1"/>
  <c r="D9" i="1"/>
  <c r="D10" i="1" s="1"/>
  <c r="D32" i="1" s="1"/>
  <c r="E8" i="1"/>
  <c r="F8" i="1" s="1"/>
  <c r="G8" i="1" s="1"/>
  <c r="H8" i="1" s="1"/>
  <c r="I8" i="1" s="1"/>
  <c r="J8" i="1" s="1"/>
  <c r="K8" i="1" s="1"/>
  <c r="L8" i="1" s="1"/>
  <c r="M8" i="1" s="1"/>
  <c r="C182" i="1" l="1"/>
  <c r="C173" i="1"/>
  <c r="C181" i="1"/>
  <c r="C178" i="1"/>
  <c r="C176" i="1"/>
  <c r="I106" i="1"/>
  <c r="I132" i="1"/>
  <c r="I135" i="1" s="1"/>
  <c r="K106" i="1"/>
  <c r="K132" i="1"/>
  <c r="K135" i="1" s="1"/>
  <c r="L106" i="1"/>
  <c r="L132" i="1"/>
  <c r="L135" i="1" s="1"/>
  <c r="M106" i="1"/>
  <c r="M132" i="1"/>
  <c r="M135" i="1" s="1"/>
  <c r="F106" i="1"/>
  <c r="F132" i="1"/>
  <c r="F135" i="1" s="1"/>
  <c r="H106" i="1"/>
  <c r="H132" i="1"/>
  <c r="H135" i="1" s="1"/>
  <c r="D84" i="1"/>
  <c r="D161" i="1" s="1"/>
  <c r="D137" i="1"/>
  <c r="G106" i="1"/>
  <c r="G132" i="1"/>
  <c r="G135" i="1" s="1"/>
  <c r="D58" i="1"/>
  <c r="D74" i="1" s="1"/>
  <c r="D106" i="1"/>
  <c r="D132" i="1"/>
  <c r="E106" i="1"/>
  <c r="E132" i="1"/>
  <c r="E135" i="1" s="1"/>
  <c r="D26" i="1"/>
  <c r="D112" i="1" s="1"/>
  <c r="D104" i="1"/>
  <c r="D111" i="1"/>
  <c r="C27" i="1"/>
  <c r="C107" i="1"/>
  <c r="C106" i="1"/>
  <c r="C105" i="1"/>
  <c r="C104" i="1"/>
  <c r="C157" i="1"/>
  <c r="C132" i="1"/>
  <c r="C127" i="1"/>
  <c r="C111" i="1"/>
  <c r="C133" i="1"/>
  <c r="C121" i="1"/>
  <c r="C101" i="1"/>
  <c r="C155" i="1"/>
  <c r="C145" i="1"/>
  <c r="C159" i="1"/>
  <c r="C112" i="1"/>
  <c r="C123" i="1"/>
  <c r="C161" i="1"/>
  <c r="C134" i="1"/>
  <c r="C113" i="1"/>
  <c r="C130" i="1"/>
  <c r="C162" i="1"/>
  <c r="C135" i="1"/>
  <c r="C114" i="1"/>
  <c r="C163" i="1"/>
  <c r="C137" i="1"/>
  <c r="C115" i="1"/>
  <c r="C138" i="1"/>
  <c r="C166" i="1"/>
  <c r="C139" i="1"/>
  <c r="C165" i="1"/>
  <c r="C116" i="1"/>
  <c r="C128" i="1"/>
  <c r="C144" i="1"/>
  <c r="C150" i="1"/>
  <c r="C117" i="1"/>
  <c r="C151" i="1"/>
  <c r="C168" i="1"/>
  <c r="C140" i="1"/>
  <c r="C119" i="1"/>
  <c r="C100" i="1"/>
  <c r="C143" i="1"/>
  <c r="C129" i="1"/>
  <c r="C156" i="1"/>
  <c r="C99" i="1"/>
  <c r="C152" i="1"/>
  <c r="C149" i="1"/>
  <c r="C141" i="1"/>
  <c r="C120" i="1"/>
  <c r="C154" i="1"/>
  <c r="C122" i="1"/>
  <c r="C98" i="1"/>
  <c r="J106" i="1"/>
  <c r="J132" i="1"/>
  <c r="J135" i="1" s="1"/>
  <c r="D59" i="1"/>
  <c r="D133" i="1"/>
  <c r="D60" i="1"/>
  <c r="D76" i="1" s="1"/>
  <c r="D151" i="1" s="1"/>
  <c r="D134" i="1"/>
  <c r="D70" i="1"/>
  <c r="E70" i="1" s="1"/>
  <c r="D119" i="1"/>
  <c r="D128" i="1" s="1"/>
  <c r="E119" i="1"/>
  <c r="E128" i="1" s="1"/>
  <c r="E71" i="1"/>
  <c r="D29" i="1"/>
  <c r="D115" i="1" s="1"/>
  <c r="D28" i="1"/>
  <c r="D114" i="1" s="1"/>
  <c r="C34" i="1"/>
  <c r="D35" i="1"/>
  <c r="C6" i="1"/>
  <c r="C89" i="1"/>
  <c r="C93" i="1"/>
  <c r="C90" i="1"/>
  <c r="C91" i="1"/>
  <c r="C88" i="1"/>
  <c r="C33" i="1"/>
  <c r="C86" i="1"/>
  <c r="C51" i="1"/>
  <c r="C42" i="1"/>
  <c r="C60" i="1"/>
  <c r="C84" i="1"/>
  <c r="C71" i="1"/>
  <c r="C83" i="1"/>
  <c r="C70" i="1"/>
  <c r="C45" i="1"/>
  <c r="C64" i="1"/>
  <c r="C76" i="1"/>
  <c r="C69" i="1"/>
  <c r="C44" i="1"/>
  <c r="C75" i="1"/>
  <c r="C66" i="1"/>
  <c r="C41" i="1"/>
  <c r="C65" i="1"/>
  <c r="C40" i="1"/>
  <c r="C32" i="1"/>
  <c r="C58" i="1"/>
  <c r="C74" i="1"/>
  <c r="C59" i="1"/>
  <c r="C28" i="1"/>
  <c r="C29" i="1"/>
  <c r="D34" i="1"/>
  <c r="D40" i="1"/>
  <c r="D155" i="1" s="1"/>
  <c r="D41" i="1"/>
  <c r="D154" i="1" s="1"/>
  <c r="D42" i="1"/>
  <c r="D166" i="1" s="1"/>
  <c r="D27" i="1"/>
  <c r="D33" i="1"/>
  <c r="C26" i="1"/>
  <c r="E9" i="1"/>
  <c r="E58" i="1" l="1"/>
  <c r="E74" i="1" s="1"/>
  <c r="E149" i="1" s="1"/>
  <c r="E60" i="1"/>
  <c r="F60" i="1" s="1"/>
  <c r="E84" i="1"/>
  <c r="F84" i="1" s="1"/>
  <c r="D99" i="1"/>
  <c r="D116" i="1" s="1"/>
  <c r="D149" i="1"/>
  <c r="D101" i="1"/>
  <c r="D100" i="1"/>
  <c r="D113" i="1"/>
  <c r="D105" i="1"/>
  <c r="D107" i="1" s="1"/>
  <c r="D75" i="1"/>
  <c r="D150" i="1" s="1"/>
  <c r="E59" i="1"/>
  <c r="F59" i="1" s="1"/>
  <c r="D135" i="1"/>
  <c r="D36" i="1"/>
  <c r="F9" i="1"/>
  <c r="F10" i="1" s="1"/>
  <c r="F26" i="1" s="1"/>
  <c r="E35" i="1"/>
  <c r="D44" i="1"/>
  <c r="D45" i="1" s="1"/>
  <c r="D129" i="1" s="1"/>
  <c r="E10" i="1"/>
  <c r="E76" i="1" l="1"/>
  <c r="E151" i="1" s="1"/>
  <c r="E99" i="1"/>
  <c r="E116" i="1" s="1"/>
  <c r="F58" i="1"/>
  <c r="G58" i="1" s="1"/>
  <c r="H58" i="1" s="1"/>
  <c r="D152" i="1"/>
  <c r="E161" i="1"/>
  <c r="E104" i="1"/>
  <c r="E111" i="1"/>
  <c r="D117" i="1"/>
  <c r="G84" i="1"/>
  <c r="F161" i="1"/>
  <c r="F104" i="1"/>
  <c r="F111" i="1"/>
  <c r="E75" i="1"/>
  <c r="E150" i="1" s="1"/>
  <c r="G9" i="1"/>
  <c r="G10" i="1" s="1"/>
  <c r="F35" i="1"/>
  <c r="F32" i="1"/>
  <c r="F40" i="1"/>
  <c r="F155" i="1" s="1"/>
  <c r="F42" i="1"/>
  <c r="F166" i="1" s="1"/>
  <c r="F41" i="1"/>
  <c r="F154" i="1" s="1"/>
  <c r="F33" i="1"/>
  <c r="F28" i="1"/>
  <c r="F114" i="1" s="1"/>
  <c r="F29" i="1"/>
  <c r="F115" i="1" s="1"/>
  <c r="F27" i="1"/>
  <c r="F113" i="1" s="1"/>
  <c r="F34" i="1"/>
  <c r="E41" i="1"/>
  <c r="E154" i="1" s="1"/>
  <c r="E42" i="1"/>
  <c r="E166" i="1" s="1"/>
  <c r="E40" i="1"/>
  <c r="E155" i="1" s="1"/>
  <c r="E26" i="1"/>
  <c r="E32" i="1"/>
  <c r="E33" i="1"/>
  <c r="E27" i="1"/>
  <c r="E113" i="1" s="1"/>
  <c r="E28" i="1"/>
  <c r="E114" i="1" s="1"/>
  <c r="E29" i="1"/>
  <c r="E115" i="1" s="1"/>
  <c r="E34" i="1"/>
  <c r="G60" i="1"/>
  <c r="F66" i="1"/>
  <c r="F71" i="1" s="1"/>
  <c r="F76" i="1" s="1"/>
  <c r="F151" i="1" s="1"/>
  <c r="G59" i="1"/>
  <c r="F65" i="1"/>
  <c r="H7" i="1"/>
  <c r="E152" i="1" l="1"/>
  <c r="F64" i="1"/>
  <c r="F69" i="1" s="1"/>
  <c r="G64" i="1" s="1"/>
  <c r="G69" i="1" s="1"/>
  <c r="G74" i="1" s="1"/>
  <c r="F105" i="1"/>
  <c r="F107" i="1" s="1"/>
  <c r="F112" i="1"/>
  <c r="H84" i="1"/>
  <c r="G161" i="1"/>
  <c r="E105" i="1"/>
  <c r="E107" i="1" s="1"/>
  <c r="E112" i="1"/>
  <c r="E117" i="1" s="1"/>
  <c r="G111" i="1"/>
  <c r="G104" i="1"/>
  <c r="E36" i="1"/>
  <c r="E101" i="1"/>
  <c r="E100" i="1"/>
  <c r="F36" i="1"/>
  <c r="F101" i="1"/>
  <c r="F100" i="1"/>
  <c r="F70" i="1"/>
  <c r="F75" i="1" s="1"/>
  <c r="F150" i="1" s="1"/>
  <c r="E44" i="1"/>
  <c r="E45" i="1" s="1"/>
  <c r="E129" i="1" s="1"/>
  <c r="F44" i="1"/>
  <c r="H9" i="1"/>
  <c r="H10" i="1" s="1"/>
  <c r="H32" i="1" s="1"/>
  <c r="G35" i="1"/>
  <c r="H59" i="1"/>
  <c r="G66" i="1"/>
  <c r="G71" i="1" s="1"/>
  <c r="I58" i="1"/>
  <c r="G42" i="1"/>
  <c r="G166" i="1" s="1"/>
  <c r="G41" i="1"/>
  <c r="G154" i="1" s="1"/>
  <c r="G40" i="1"/>
  <c r="G155" i="1" s="1"/>
  <c r="H60" i="1"/>
  <c r="G32" i="1"/>
  <c r="G33" i="1"/>
  <c r="G26" i="1"/>
  <c r="G34" i="1"/>
  <c r="G29" i="1"/>
  <c r="G115" i="1" s="1"/>
  <c r="G28" i="1"/>
  <c r="G114" i="1" s="1"/>
  <c r="G27" i="1"/>
  <c r="G113" i="1" s="1"/>
  <c r="I7" i="1"/>
  <c r="H64" i="1" l="1"/>
  <c r="H69" i="1" s="1"/>
  <c r="I64" i="1" s="1"/>
  <c r="I69" i="1" s="1"/>
  <c r="F119" i="1"/>
  <c r="F128" i="1" s="1"/>
  <c r="F74" i="1"/>
  <c r="F149" i="1" s="1"/>
  <c r="F152" i="1" s="1"/>
  <c r="G65" i="1"/>
  <c r="G70" i="1" s="1"/>
  <c r="H65" i="1" s="1"/>
  <c r="G99" i="1"/>
  <c r="G116" i="1" s="1"/>
  <c r="G149" i="1"/>
  <c r="H111" i="1"/>
  <c r="H104" i="1"/>
  <c r="I84" i="1"/>
  <c r="H161" i="1"/>
  <c r="G112" i="1"/>
  <c r="G105" i="1"/>
  <c r="G107" i="1" s="1"/>
  <c r="G100" i="1"/>
  <c r="G101" i="1"/>
  <c r="G36" i="1"/>
  <c r="F45" i="1"/>
  <c r="F129" i="1" s="1"/>
  <c r="G44" i="1"/>
  <c r="G45" i="1" s="1"/>
  <c r="G129" i="1" s="1"/>
  <c r="I9" i="1"/>
  <c r="I10" i="1" s="1"/>
  <c r="H35" i="1"/>
  <c r="H66" i="1"/>
  <c r="H71" i="1" s="1"/>
  <c r="G76" i="1"/>
  <c r="G151" i="1" s="1"/>
  <c r="I60" i="1"/>
  <c r="J58" i="1"/>
  <c r="H42" i="1"/>
  <c r="H166" i="1" s="1"/>
  <c r="H41" i="1"/>
  <c r="H154" i="1" s="1"/>
  <c r="H40" i="1"/>
  <c r="H155" i="1" s="1"/>
  <c r="I59" i="1"/>
  <c r="H33" i="1"/>
  <c r="H27" i="1"/>
  <c r="H113" i="1" s="1"/>
  <c r="H26" i="1"/>
  <c r="H34" i="1"/>
  <c r="H29" i="1"/>
  <c r="H115" i="1" s="1"/>
  <c r="H28" i="1"/>
  <c r="H114" i="1" s="1"/>
  <c r="J7" i="1"/>
  <c r="H74" i="1" l="1"/>
  <c r="H99" i="1" s="1"/>
  <c r="H116" i="1" s="1"/>
  <c r="F99" i="1"/>
  <c r="F116" i="1" s="1"/>
  <c r="F117" i="1" s="1"/>
  <c r="G119" i="1"/>
  <c r="G128" i="1" s="1"/>
  <c r="G117" i="1"/>
  <c r="G75" i="1"/>
  <c r="G150" i="1" s="1"/>
  <c r="G152" i="1" s="1"/>
  <c r="I111" i="1"/>
  <c r="I104" i="1"/>
  <c r="J84" i="1"/>
  <c r="I161" i="1"/>
  <c r="H112" i="1"/>
  <c r="H105" i="1"/>
  <c r="H107" i="1" s="1"/>
  <c r="H100" i="1"/>
  <c r="H101" i="1"/>
  <c r="H70" i="1"/>
  <c r="I65" i="1" s="1"/>
  <c r="H119" i="1"/>
  <c r="H128" i="1" s="1"/>
  <c r="H36" i="1"/>
  <c r="J9" i="1"/>
  <c r="J10" i="1" s="1"/>
  <c r="I35" i="1"/>
  <c r="H44" i="1"/>
  <c r="H45" i="1" s="1"/>
  <c r="H129" i="1" s="1"/>
  <c r="I66" i="1"/>
  <c r="I71" i="1" s="1"/>
  <c r="H76" i="1"/>
  <c r="H151" i="1" s="1"/>
  <c r="J64" i="1"/>
  <c r="J69" i="1" s="1"/>
  <c r="I74" i="1"/>
  <c r="K58" i="1"/>
  <c r="I42" i="1"/>
  <c r="I166" i="1" s="1"/>
  <c r="I41" i="1"/>
  <c r="I154" i="1" s="1"/>
  <c r="I40" i="1"/>
  <c r="I155" i="1" s="1"/>
  <c r="J59" i="1"/>
  <c r="J60" i="1"/>
  <c r="I33" i="1"/>
  <c r="I32" i="1"/>
  <c r="I27" i="1"/>
  <c r="I113" i="1" s="1"/>
  <c r="I26" i="1"/>
  <c r="I34" i="1"/>
  <c r="I29" i="1"/>
  <c r="I115" i="1" s="1"/>
  <c r="I28" i="1"/>
  <c r="I114" i="1" s="1"/>
  <c r="K7" i="1"/>
  <c r="H149" i="1" l="1"/>
  <c r="H117" i="1"/>
  <c r="I112" i="1"/>
  <c r="I105" i="1"/>
  <c r="I107" i="1" s="1"/>
  <c r="J111" i="1"/>
  <c r="J104" i="1"/>
  <c r="K84" i="1"/>
  <c r="J161" i="1"/>
  <c r="I99" i="1"/>
  <c r="I116" i="1" s="1"/>
  <c r="I149" i="1"/>
  <c r="I100" i="1"/>
  <c r="I101" i="1"/>
  <c r="H75" i="1"/>
  <c r="H150" i="1" s="1"/>
  <c r="I36" i="1"/>
  <c r="I70" i="1"/>
  <c r="J65" i="1" s="1"/>
  <c r="I119" i="1"/>
  <c r="I128" i="1" s="1"/>
  <c r="K64" i="1"/>
  <c r="K69" i="1" s="1"/>
  <c r="K74" i="1" s="1"/>
  <c r="J35" i="1"/>
  <c r="K9" i="1"/>
  <c r="K10" i="1" s="1"/>
  <c r="J66" i="1"/>
  <c r="J71" i="1" s="1"/>
  <c r="I76" i="1"/>
  <c r="I151" i="1" s="1"/>
  <c r="K60" i="1"/>
  <c r="L58" i="1"/>
  <c r="J42" i="1"/>
  <c r="J166" i="1" s="1"/>
  <c r="J41" i="1"/>
  <c r="J154" i="1" s="1"/>
  <c r="J40" i="1"/>
  <c r="J155" i="1" s="1"/>
  <c r="K59" i="1"/>
  <c r="I44" i="1"/>
  <c r="I45" i="1" s="1"/>
  <c r="I129" i="1" s="1"/>
  <c r="J74" i="1"/>
  <c r="J33" i="1"/>
  <c r="J32" i="1"/>
  <c r="J27" i="1"/>
  <c r="J113" i="1" s="1"/>
  <c r="J26" i="1"/>
  <c r="J34" i="1"/>
  <c r="J29" i="1"/>
  <c r="J115" i="1" s="1"/>
  <c r="J28" i="1"/>
  <c r="J114" i="1" s="1"/>
  <c r="L7" i="1"/>
  <c r="H152" i="1" l="1"/>
  <c r="I117" i="1"/>
  <c r="K99" i="1"/>
  <c r="K116" i="1" s="1"/>
  <c r="K149" i="1"/>
  <c r="J112" i="1"/>
  <c r="J105" i="1"/>
  <c r="J107" i="1" s="1"/>
  <c r="L84" i="1"/>
  <c r="K161" i="1"/>
  <c r="K111" i="1"/>
  <c r="K104" i="1"/>
  <c r="J99" i="1"/>
  <c r="J116" i="1" s="1"/>
  <c r="J149" i="1"/>
  <c r="J101" i="1"/>
  <c r="J100" i="1"/>
  <c r="J36" i="1"/>
  <c r="J70" i="1"/>
  <c r="K65" i="1" s="1"/>
  <c r="J119" i="1"/>
  <c r="J128" i="1" s="1"/>
  <c r="I75" i="1"/>
  <c r="I150" i="1" s="1"/>
  <c r="I152" i="1" s="1"/>
  <c r="K35" i="1"/>
  <c r="L9" i="1"/>
  <c r="L10" i="1" s="1"/>
  <c r="K66" i="1"/>
  <c r="K71" i="1" s="1"/>
  <c r="J76" i="1"/>
  <c r="J151" i="1" s="1"/>
  <c r="M58" i="1"/>
  <c r="L64" i="1"/>
  <c r="L69" i="1" s="1"/>
  <c r="K42" i="1"/>
  <c r="K166" i="1" s="1"/>
  <c r="K40" i="1"/>
  <c r="K155" i="1" s="1"/>
  <c r="K41" i="1"/>
  <c r="K154" i="1" s="1"/>
  <c r="L60" i="1"/>
  <c r="L59" i="1"/>
  <c r="J44" i="1"/>
  <c r="J45" i="1" s="1"/>
  <c r="J129" i="1" s="1"/>
  <c r="K33" i="1"/>
  <c r="K32" i="1"/>
  <c r="K28" i="1"/>
  <c r="K114" i="1" s="1"/>
  <c r="K27" i="1"/>
  <c r="K113" i="1" s="1"/>
  <c r="K34" i="1"/>
  <c r="K26" i="1"/>
  <c r="K29" i="1"/>
  <c r="K115" i="1" s="1"/>
  <c r="M7" i="1"/>
  <c r="J117" i="1" l="1"/>
  <c r="K112" i="1"/>
  <c r="K117" i="1" s="1"/>
  <c r="K105" i="1"/>
  <c r="K107" i="1" s="1"/>
  <c r="L111" i="1"/>
  <c r="L104" i="1"/>
  <c r="M84" i="1"/>
  <c r="M161" i="1" s="1"/>
  <c r="L161" i="1"/>
  <c r="K101" i="1"/>
  <c r="K100" i="1"/>
  <c r="K70" i="1"/>
  <c r="L65" i="1" s="1"/>
  <c r="K119" i="1"/>
  <c r="K128" i="1" s="1"/>
  <c r="K36" i="1"/>
  <c r="J75" i="1"/>
  <c r="J150" i="1" s="1"/>
  <c r="J152" i="1" s="1"/>
  <c r="L35" i="1"/>
  <c r="M9" i="1"/>
  <c r="M35" i="1" s="1"/>
  <c r="M10" i="1"/>
  <c r="L66" i="1"/>
  <c r="L71" i="1" s="1"/>
  <c r="K76" i="1"/>
  <c r="K151" i="1" s="1"/>
  <c r="K44" i="1"/>
  <c r="K45" i="1" s="1"/>
  <c r="K129" i="1" s="1"/>
  <c r="L42" i="1"/>
  <c r="L166" i="1" s="1"/>
  <c r="L41" i="1"/>
  <c r="L154" i="1" s="1"/>
  <c r="L40" i="1"/>
  <c r="L155" i="1" s="1"/>
  <c r="M60" i="1"/>
  <c r="M64" i="1"/>
  <c r="M69" i="1" s="1"/>
  <c r="M74" i="1" s="1"/>
  <c r="L74" i="1"/>
  <c r="M59" i="1"/>
  <c r="L33" i="1"/>
  <c r="L32" i="1"/>
  <c r="L28" i="1"/>
  <c r="L114" i="1" s="1"/>
  <c r="L27" i="1"/>
  <c r="L113" i="1" s="1"/>
  <c r="L26" i="1"/>
  <c r="L34" i="1"/>
  <c r="L29" i="1"/>
  <c r="L115" i="1" s="1"/>
  <c r="L112" i="1" l="1"/>
  <c r="L105" i="1"/>
  <c r="L107" i="1" s="1"/>
  <c r="L99" i="1"/>
  <c r="L116" i="1" s="1"/>
  <c r="L149" i="1"/>
  <c r="M111" i="1"/>
  <c r="M104" i="1"/>
  <c r="M99" i="1"/>
  <c r="M116" i="1" s="1"/>
  <c r="M149" i="1"/>
  <c r="M34" i="1"/>
  <c r="M100" i="1" s="1"/>
  <c r="M29" i="1"/>
  <c r="M115" i="1" s="1"/>
  <c r="M42" i="1"/>
  <c r="M166" i="1" s="1"/>
  <c r="L101" i="1"/>
  <c r="L100" i="1"/>
  <c r="K75" i="1"/>
  <c r="K150" i="1" s="1"/>
  <c r="K152" i="1" s="1"/>
  <c r="M27" i="1"/>
  <c r="M113" i="1" s="1"/>
  <c r="M26" i="1"/>
  <c r="M28" i="1"/>
  <c r="M114" i="1" s="1"/>
  <c r="L36" i="1"/>
  <c r="M41" i="1"/>
  <c r="M154" i="1" s="1"/>
  <c r="M32" i="1"/>
  <c r="M40" i="1"/>
  <c r="M155" i="1" s="1"/>
  <c r="L70" i="1"/>
  <c r="M65" i="1" s="1"/>
  <c r="L119" i="1"/>
  <c r="L128" i="1" s="1"/>
  <c r="M33" i="1"/>
  <c r="L44" i="1"/>
  <c r="L45" i="1" s="1"/>
  <c r="L129" i="1" s="1"/>
  <c r="M66" i="1"/>
  <c r="M71" i="1" s="1"/>
  <c r="M76" i="1" s="1"/>
  <c r="M151" i="1" s="1"/>
  <c r="L76" i="1"/>
  <c r="L151" i="1" s="1"/>
  <c r="L117" i="1" l="1"/>
  <c r="M112" i="1"/>
  <c r="M117" i="1" s="1"/>
  <c r="M105" i="1"/>
  <c r="M107" i="1" s="1"/>
  <c r="M101" i="1"/>
  <c r="M36" i="1"/>
  <c r="M44" i="1"/>
  <c r="M45" i="1" s="1"/>
  <c r="M129" i="1" s="1"/>
  <c r="L75" i="1"/>
  <c r="L150" i="1" s="1"/>
  <c r="L152" i="1" s="1"/>
  <c r="M70" i="1"/>
  <c r="M75" i="1" s="1"/>
  <c r="M150" i="1" s="1"/>
  <c r="M152" i="1" s="1"/>
  <c r="M119" i="1"/>
  <c r="M128" i="1" s="1"/>
  <c r="F138" i="1"/>
  <c r="G138" i="1"/>
  <c r="H138" i="1"/>
  <c r="I138" i="1"/>
  <c r="J138" i="1"/>
  <c r="K138" i="1"/>
  <c r="L138" i="1"/>
  <c r="M138" i="1"/>
  <c r="D139" i="1"/>
  <c r="E139" i="1"/>
  <c r="P1" i="1"/>
  <c r="P2" i="1"/>
  <c r="D86" i="1"/>
  <c r="E86" i="1"/>
  <c r="F86" i="1"/>
  <c r="G86" i="1"/>
  <c r="H86" i="1"/>
  <c r="I86" i="1"/>
  <c r="J86" i="1"/>
  <c r="K86" i="1"/>
  <c r="L86" i="1"/>
  <c r="M86" i="1"/>
  <c r="D88" i="1"/>
  <c r="E88" i="1"/>
  <c r="F89" i="1"/>
  <c r="G89" i="1"/>
  <c r="H89" i="1"/>
  <c r="I89" i="1"/>
  <c r="J89" i="1"/>
  <c r="K89" i="1"/>
  <c r="L89" i="1"/>
  <c r="M89" i="1"/>
  <c r="D90" i="1"/>
  <c r="E90" i="1"/>
  <c r="F90" i="1"/>
  <c r="G90" i="1"/>
  <c r="H90" i="1"/>
  <c r="I90" i="1"/>
  <c r="J90" i="1"/>
  <c r="K90" i="1"/>
  <c r="L90" i="1"/>
  <c r="M90" i="1"/>
  <c r="D91" i="1"/>
  <c r="E91" i="1"/>
  <c r="F91" i="1"/>
  <c r="G91" i="1"/>
  <c r="H91" i="1"/>
  <c r="I91" i="1"/>
  <c r="J91" i="1"/>
  <c r="K91" i="1"/>
  <c r="L91" i="1"/>
  <c r="M91" i="1"/>
  <c r="D93" i="1"/>
  <c r="E93" i="1"/>
  <c r="F93" i="1"/>
  <c r="G93" i="1"/>
  <c r="H93" i="1"/>
  <c r="I93" i="1"/>
  <c r="J93" i="1"/>
  <c r="K93" i="1"/>
  <c r="L93" i="1"/>
  <c r="M93" i="1"/>
  <c r="F94" i="1"/>
  <c r="G94" i="1"/>
  <c r="H94" i="1"/>
  <c r="I94" i="1"/>
  <c r="J94" i="1"/>
  <c r="K94" i="1"/>
  <c r="L94" i="1"/>
  <c r="M94" i="1"/>
  <c r="D98" i="1"/>
  <c r="E98" i="1"/>
  <c r="F98" i="1"/>
  <c r="G98" i="1"/>
  <c r="H98" i="1"/>
  <c r="I98" i="1"/>
  <c r="J98" i="1"/>
  <c r="K98" i="1"/>
  <c r="L98" i="1"/>
  <c r="M98" i="1"/>
  <c r="D120" i="1"/>
  <c r="E120" i="1"/>
  <c r="F120" i="1"/>
  <c r="G120" i="1"/>
  <c r="H120" i="1"/>
  <c r="I120" i="1"/>
  <c r="J120" i="1"/>
  <c r="K120" i="1"/>
  <c r="L120" i="1"/>
  <c r="M120" i="1"/>
  <c r="D121" i="1"/>
  <c r="E121" i="1"/>
  <c r="F121" i="1"/>
  <c r="G121" i="1"/>
  <c r="H121" i="1"/>
  <c r="I121" i="1"/>
  <c r="J121" i="1"/>
  <c r="K121" i="1"/>
  <c r="L121" i="1"/>
  <c r="M121" i="1"/>
  <c r="D122" i="1"/>
  <c r="E122" i="1"/>
  <c r="F122" i="1"/>
  <c r="G122" i="1"/>
  <c r="H122" i="1"/>
  <c r="I122" i="1"/>
  <c r="J122" i="1"/>
  <c r="K122" i="1"/>
  <c r="L122" i="1"/>
  <c r="M122" i="1"/>
  <c r="D123" i="1"/>
  <c r="E123" i="1"/>
  <c r="F123" i="1"/>
  <c r="G123" i="1"/>
  <c r="H123" i="1"/>
  <c r="I123" i="1"/>
  <c r="J123" i="1"/>
  <c r="K123" i="1"/>
  <c r="L123" i="1"/>
  <c r="M123" i="1"/>
  <c r="D127" i="1"/>
  <c r="E127" i="1"/>
  <c r="F127" i="1"/>
  <c r="G127" i="1"/>
  <c r="H127" i="1"/>
  <c r="I127" i="1"/>
  <c r="J127" i="1"/>
  <c r="K127" i="1"/>
  <c r="L127" i="1"/>
  <c r="M127" i="1"/>
  <c r="D130" i="1"/>
  <c r="E130" i="1"/>
  <c r="F130" i="1"/>
  <c r="G130" i="1"/>
  <c r="H130" i="1"/>
  <c r="I130" i="1"/>
  <c r="J130" i="1"/>
  <c r="K130" i="1"/>
  <c r="L130" i="1"/>
  <c r="M130" i="1"/>
  <c r="D138" i="1"/>
  <c r="E138" i="1"/>
  <c r="F139" i="1"/>
  <c r="G139" i="1"/>
  <c r="H139" i="1"/>
  <c r="I139" i="1"/>
  <c r="J139" i="1"/>
  <c r="K139" i="1"/>
  <c r="L139" i="1"/>
  <c r="M139" i="1"/>
  <c r="D140" i="1"/>
  <c r="E140" i="1"/>
  <c r="F140" i="1"/>
  <c r="G140" i="1"/>
  <c r="H140" i="1"/>
  <c r="I140" i="1"/>
  <c r="J140" i="1"/>
  <c r="K140" i="1"/>
  <c r="L140" i="1"/>
  <c r="M140" i="1"/>
  <c r="D141" i="1"/>
  <c r="E141" i="1"/>
  <c r="F141" i="1"/>
  <c r="G141" i="1"/>
  <c r="H141" i="1"/>
  <c r="I141" i="1"/>
  <c r="J141" i="1"/>
  <c r="K141" i="1"/>
  <c r="L141" i="1"/>
  <c r="M141" i="1"/>
  <c r="D143" i="1"/>
  <c r="E143" i="1"/>
  <c r="F143" i="1"/>
  <c r="G143" i="1"/>
  <c r="H143" i="1"/>
  <c r="I143" i="1"/>
  <c r="J143" i="1"/>
  <c r="K143" i="1"/>
  <c r="L143" i="1"/>
  <c r="M143" i="1"/>
  <c r="E144" i="1"/>
  <c r="F144" i="1"/>
  <c r="G144" i="1"/>
  <c r="H144" i="1"/>
  <c r="I144" i="1"/>
  <c r="J144" i="1"/>
  <c r="K144" i="1"/>
  <c r="L144" i="1"/>
  <c r="M144" i="1"/>
  <c r="D145" i="1"/>
  <c r="E145" i="1"/>
  <c r="F145" i="1"/>
  <c r="G145" i="1"/>
  <c r="H145" i="1"/>
  <c r="I145" i="1"/>
  <c r="J145" i="1"/>
  <c r="K145" i="1"/>
  <c r="L145" i="1"/>
  <c r="M145" i="1"/>
  <c r="D156" i="1"/>
  <c r="E156" i="1"/>
  <c r="F156" i="1"/>
  <c r="G156" i="1"/>
  <c r="H156" i="1"/>
  <c r="I156" i="1"/>
  <c r="J156" i="1"/>
  <c r="K156" i="1"/>
  <c r="L156" i="1"/>
  <c r="M156" i="1"/>
  <c r="D157" i="1"/>
  <c r="E157" i="1"/>
  <c r="F157" i="1"/>
  <c r="G157" i="1"/>
  <c r="H157" i="1"/>
  <c r="I157" i="1"/>
  <c r="J157" i="1"/>
  <c r="K157" i="1"/>
  <c r="L157" i="1"/>
  <c r="M157" i="1"/>
  <c r="D159" i="1"/>
  <c r="E159" i="1"/>
  <c r="F159" i="1"/>
  <c r="G159" i="1"/>
  <c r="H159" i="1"/>
  <c r="I159" i="1"/>
  <c r="J159" i="1"/>
  <c r="K159" i="1"/>
  <c r="L159" i="1"/>
  <c r="M159" i="1"/>
  <c r="D162" i="1"/>
  <c r="E162" i="1"/>
  <c r="F162" i="1"/>
  <c r="G162" i="1"/>
  <c r="H162" i="1"/>
  <c r="I162" i="1"/>
  <c r="J162" i="1"/>
  <c r="K162" i="1"/>
  <c r="L162" i="1"/>
  <c r="M162" i="1"/>
  <c r="D163" i="1"/>
  <c r="E163" i="1"/>
  <c r="F163" i="1"/>
  <c r="G163" i="1"/>
  <c r="H163" i="1"/>
  <c r="I163" i="1"/>
  <c r="J163" i="1"/>
  <c r="K163" i="1"/>
  <c r="L163" i="1"/>
  <c r="M163" i="1"/>
  <c r="D165" i="1"/>
  <c r="E165" i="1"/>
  <c r="F165" i="1"/>
  <c r="G165" i="1"/>
  <c r="H165" i="1"/>
  <c r="I165" i="1"/>
  <c r="J165" i="1"/>
  <c r="K165" i="1"/>
  <c r="L165" i="1"/>
  <c r="M165" i="1"/>
  <c r="D168" i="1"/>
  <c r="E168" i="1"/>
  <c r="F168" i="1"/>
  <c r="G168" i="1"/>
  <c r="H168" i="1"/>
  <c r="I168" i="1"/>
  <c r="J168" i="1"/>
  <c r="K168" i="1"/>
  <c r="L168" i="1"/>
  <c r="M168" i="1"/>
  <c r="B169" i="1"/>
  <c r="D169" i="1"/>
  <c r="E169" i="1"/>
  <c r="F169" i="1"/>
  <c r="G169" i="1"/>
  <c r="H169" i="1"/>
  <c r="I169" i="1"/>
  <c r="J169" i="1"/>
  <c r="K169" i="1"/>
  <c r="L169" i="1"/>
  <c r="M169" i="1"/>
  <c r="D173" i="1"/>
  <c r="E173" i="1"/>
  <c r="F173" i="1"/>
  <c r="G173" i="1"/>
  <c r="H173" i="1"/>
  <c r="I173" i="1"/>
  <c r="J173" i="1"/>
  <c r="K173" i="1"/>
  <c r="L173" i="1"/>
  <c r="M173" i="1"/>
  <c r="D176" i="1"/>
  <c r="E176" i="1"/>
  <c r="F176" i="1"/>
  <c r="G176" i="1"/>
  <c r="H176" i="1"/>
  <c r="I176" i="1"/>
  <c r="J176" i="1"/>
  <c r="K176" i="1"/>
  <c r="L176" i="1"/>
  <c r="M176" i="1"/>
  <c r="B178" i="1"/>
  <c r="B179" i="1"/>
  <c r="D181" i="1"/>
  <c r="E181" i="1"/>
  <c r="F181" i="1"/>
  <c r="G181" i="1"/>
  <c r="H181" i="1"/>
  <c r="I181" i="1"/>
  <c r="J181" i="1"/>
  <c r="K181" i="1"/>
  <c r="L181" i="1"/>
  <c r="M181" i="1"/>
  <c r="D182" i="1"/>
  <c r="E182" i="1"/>
  <c r="F182" i="1"/>
  <c r="G182" i="1"/>
  <c r="H182" i="1"/>
  <c r="I182" i="1"/>
  <c r="J182" i="1"/>
  <c r="K182" i="1"/>
  <c r="L182" i="1"/>
  <c r="M182" i="1"/>
</calcChain>
</file>

<file path=xl/sharedStrings.xml><?xml version="1.0" encoding="utf-8"?>
<sst xmlns="http://schemas.openxmlformats.org/spreadsheetml/2006/main" count="173" uniqueCount="116">
  <si>
    <t>Год 1</t>
  </si>
  <si>
    <t>Год 2</t>
  </si>
  <si>
    <t>Год 3</t>
  </si>
  <si>
    <t>Год 4</t>
  </si>
  <si>
    <t>Год 5</t>
  </si>
  <si>
    <t>Год 6</t>
  </si>
  <si>
    <t>Год 7</t>
  </si>
  <si>
    <t>Год 8</t>
  </si>
  <si>
    <t>Год 9</t>
  </si>
  <si>
    <t>Год 10</t>
  </si>
  <si>
    <t>Коэффициент выхода на план выручки</t>
  </si>
  <si>
    <t>%</t>
  </si>
  <si>
    <t>Инфляция</t>
  </si>
  <si>
    <t>Выручка</t>
  </si>
  <si>
    <t>Индекс инфляции</t>
  </si>
  <si>
    <t>Структура операционных расходов</t>
  </si>
  <si>
    <t>Прямые издержки</t>
  </si>
  <si>
    <t>Общепроизводственные издержки</t>
  </si>
  <si>
    <t>Коммерческие издержки</t>
  </si>
  <si>
    <t>Административные издержки</t>
  </si>
  <si>
    <t>Среднемесячная зарплата</t>
  </si>
  <si>
    <t>Численность персонала</t>
  </si>
  <si>
    <t>Целевая выручка в ценах первого года</t>
  </si>
  <si>
    <t>Операционные расходы</t>
  </si>
  <si>
    <t>тыс. руб.</t>
  </si>
  <si>
    <t>чел.</t>
  </si>
  <si>
    <t>Планирование в тыс. или млн?</t>
  </si>
  <si>
    <t>В том числе отдельные статьи расходов:</t>
  </si>
  <si>
    <t>Расходы на персонал</t>
  </si>
  <si>
    <t>Коммунальные услуги</t>
  </si>
  <si>
    <t>Обслуживание основных фондов</t>
  </si>
  <si>
    <t>Оборотный капитал</t>
  </si>
  <si>
    <t>Дебиторская задолженность</t>
  </si>
  <si>
    <t>Запасы</t>
  </si>
  <si>
    <t>Кредиторская задолженность</t>
  </si>
  <si>
    <t>Цикл, дн.</t>
  </si>
  <si>
    <t>Чистый оборотный капитал</t>
  </si>
  <si>
    <t>Прирост чистого оборотного капитала</t>
  </si>
  <si>
    <t>Инвестиции</t>
  </si>
  <si>
    <t>Инвестиции в % от целевой выручки</t>
  </si>
  <si>
    <t>Распределение по периодам</t>
  </si>
  <si>
    <t>в том числе:</t>
  </si>
  <si>
    <t>Недвижимость</t>
  </si>
  <si>
    <t>Оборудование</t>
  </si>
  <si>
    <t>Нематериальные активы</t>
  </si>
  <si>
    <t>Сумма инвестиций по периодам</t>
  </si>
  <si>
    <t>Начальная стоимость активов</t>
  </si>
  <si>
    <t>Амортизация начисляется с периода</t>
  </si>
  <si>
    <t>Остаточная стоимость активов</t>
  </si>
  <si>
    <t>Накопленная амортизация</t>
  </si>
  <si>
    <t>Финансирование</t>
  </si>
  <si>
    <t>Доля собственного капитала</t>
  </si>
  <si>
    <t>Доля заемного капитала</t>
  </si>
  <si>
    <t>Акционерный капитал в балансе</t>
  </si>
  <si>
    <t>Дивиденды в % от чистой прибыли</t>
  </si>
  <si>
    <t>Выплаты дивидендов</t>
  </si>
  <si>
    <t>Срок, лет</t>
  </si>
  <si>
    <t>Поступление кредита</t>
  </si>
  <si>
    <t>Возврат кредита</t>
  </si>
  <si>
    <t>Задолженность в течение периода</t>
  </si>
  <si>
    <t>Задолженность на конец периода</t>
  </si>
  <si>
    <t>Ставка процентов</t>
  </si>
  <si>
    <t>Начисленные проценты</t>
  </si>
  <si>
    <t>Целевой и фактический DSCR</t>
  </si>
  <si>
    <t>раз</t>
  </si>
  <si>
    <t>Отчет о прибылях и убытках</t>
  </si>
  <si>
    <t>Доходы от продаж</t>
  </si>
  <si>
    <t>Налог на имущество</t>
  </si>
  <si>
    <t>EBITDA</t>
  </si>
  <si>
    <t>Амортизация</t>
  </si>
  <si>
    <t>Проценты по кредитам</t>
  </si>
  <si>
    <t>Налогооблагаемая прибыль</t>
  </si>
  <si>
    <t>Налог на прибыль</t>
  </si>
  <si>
    <t>Чистая прибыль</t>
  </si>
  <si>
    <t>Отчет о движении денежных средств</t>
  </si>
  <si>
    <t>Поступления собственного капитала</t>
  </si>
  <si>
    <t>Поступления кредитов</t>
  </si>
  <si>
    <t>Выплаты кредитов</t>
  </si>
  <si>
    <t>Суммарный денежный поток</t>
  </si>
  <si>
    <t>Операционные денежные потоки</t>
  </si>
  <si>
    <t>Инвестиционные денежные потоки</t>
  </si>
  <si>
    <t>Финансовые денежные потоки</t>
  </si>
  <si>
    <t>Деньги на начало периода</t>
  </si>
  <si>
    <t>Деньги на конец периода</t>
  </si>
  <si>
    <t>Вложения акционерного капитала</t>
  </si>
  <si>
    <t>Баланс</t>
  </si>
  <si>
    <t>Налоговые платежи</t>
  </si>
  <si>
    <t>Показатели эффективности</t>
  </si>
  <si>
    <t>Суммарные долгосрочные активы</t>
  </si>
  <si>
    <t>Денежные средства</t>
  </si>
  <si>
    <t>Суммарные текущие активы</t>
  </si>
  <si>
    <t>ИТОГО АКТИВЫ</t>
  </si>
  <si>
    <t>Акционерный капитал</t>
  </si>
  <si>
    <t>Суммарный собственный капитал</t>
  </si>
  <si>
    <t>Кредиты</t>
  </si>
  <si>
    <t>ИТОГО ПАССИВЫ</t>
  </si>
  <si>
    <t>Контроль сходимости баланса</t>
  </si>
  <si>
    <t>Нераспределенная прибыль</t>
  </si>
  <si>
    <t>Социальные взносы</t>
  </si>
  <si>
    <t>НДФЛ</t>
  </si>
  <si>
    <t>НДС с продаж</t>
  </si>
  <si>
    <t>НДС с операционных расходов</t>
  </si>
  <si>
    <t>Расчет платежей НДС</t>
  </si>
  <si>
    <t>НДС с инвестиций</t>
  </si>
  <si>
    <t>Баланс платежей НДС</t>
  </si>
  <si>
    <t>Свободный денежный поток акционера, FCFE</t>
  </si>
  <si>
    <t>Ставка дисконтирования</t>
  </si>
  <si>
    <t>Индекс дисконтирования</t>
  </si>
  <si>
    <t>Дисконтированный FCFE</t>
  </si>
  <si>
    <t>Чистая приведенная стоимость, NPV</t>
  </si>
  <si>
    <t>Внутренняя норма рентабельности, IRR</t>
  </si>
  <si>
    <t>Недисконтированная окупаемость проекта</t>
  </si>
  <si>
    <t>Дисконтированная окупаемость проекта</t>
  </si>
  <si>
    <t xml:space="preserve">NPV = </t>
  </si>
  <si>
    <t xml:space="preserve">IRR = </t>
  </si>
  <si>
    <t>Строительство несамоходного флота АО «Сургутское судоремонтное предприятие»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</si>
</sst>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4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4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0" tint="-0.49998474074526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Border="0" applyAlignment="0" applyProtection="0"/>
    <xf numFmtId="2" fontId="5" fillId="0" borderId="0" applyNumberFormat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0" borderId="0" xfId="0" applyFont="1"/>
    <xf numFmtId="0" fontId="5" fillId="0" borderId="0" xfId="2" applyNumberFormat="1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3" fontId="5" fillId="0" borderId="0" xfId="2" applyNumberFormat="1" applyFont="1"/>
    <xf numFmtId="0" fontId="4" fillId="0" borderId="0" xfId="0" applyFont="1" applyAlignment="1">
      <alignment horizontal="center"/>
    </xf>
    <xf numFmtId="164" fontId="5" fillId="0" borderId="0" xfId="2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164" fontId="5" fillId="0" borderId="0" xfId="2" applyNumberFormat="1" applyFont="1"/>
    <xf numFmtId="3" fontId="4" fillId="0" borderId="0" xfId="0" applyNumberFormat="1" applyFont="1" applyAlignment="1">
      <alignment horizontal="right"/>
    </xf>
    <xf numFmtId="165" fontId="5" fillId="0" borderId="0" xfId="2" applyNumberFormat="1" applyFont="1"/>
    <xf numFmtId="166" fontId="4" fillId="0" borderId="0" xfId="0" applyNumberFormat="1" applyFont="1" applyAlignment="1">
      <alignment horizontal="right"/>
    </xf>
    <xf numFmtId="9" fontId="5" fillId="0" borderId="0" xfId="2" applyNumberFormat="1" applyFont="1"/>
    <xf numFmtId="9" fontId="5" fillId="0" borderId="0" xfId="2" applyNumberFormat="1" applyFont="1" applyAlignment="1">
      <alignment horizontal="right"/>
    </xf>
    <xf numFmtId="3" fontId="4" fillId="0" borderId="0" xfId="0" applyNumberFormat="1" applyFont="1"/>
    <xf numFmtId="9" fontId="4" fillId="0" borderId="0" xfId="0" applyNumberFormat="1" applyFont="1"/>
    <xf numFmtId="164" fontId="4" fillId="0" borderId="0" xfId="1" applyNumberFormat="1" applyFont="1" applyAlignment="1">
      <alignment horizontal="right"/>
    </xf>
    <xf numFmtId="0" fontId="6" fillId="0" borderId="0" xfId="0" applyFont="1"/>
    <xf numFmtId="164" fontId="5" fillId="0" borderId="0" xfId="2" applyNumberFormat="1"/>
    <xf numFmtId="9" fontId="5" fillId="0" borderId="0" xfId="2" applyNumberFormat="1"/>
    <xf numFmtId="2" fontId="4" fillId="0" borderId="0" xfId="0" applyNumberFormat="1" applyFont="1" applyAlignment="1">
      <alignment horizontal="right"/>
    </xf>
    <xf numFmtId="3" fontId="6" fillId="0" borderId="0" xfId="0" applyNumberFormat="1" applyFont="1"/>
    <xf numFmtId="9" fontId="6" fillId="0" borderId="0" xfId="0" applyNumberFormat="1" applyFont="1"/>
    <xf numFmtId="0" fontId="7" fillId="2" borderId="0" xfId="0" applyFont="1" applyFill="1" applyAlignment="1">
      <alignment horizontal="right"/>
    </xf>
    <xf numFmtId="3" fontId="7" fillId="2" borderId="0" xfId="0" applyNumberFormat="1" applyFont="1" applyFill="1" applyAlignment="1">
      <alignment horizontal="left"/>
    </xf>
    <xf numFmtId="9" fontId="7" fillId="2" borderId="0" xfId="0" applyNumberFormat="1" applyFont="1" applyFill="1" applyAlignment="1">
      <alignment horizontal="left"/>
    </xf>
    <xf numFmtId="0" fontId="3" fillId="2" borderId="0" xfId="2" applyNumberFormat="1" applyFont="1" applyFill="1" applyAlignment="1">
      <alignment horizontal="center" vertical="center" wrapText="1"/>
    </xf>
  </cellXfs>
  <cellStyles count="3">
    <cellStyle name="Обычный" xfId="0" builtinId="0"/>
    <cellStyle name="Параметр" xfId="2" xr:uid="{76572F62-668C-4EF6-838B-EE1CFC1AA9EF}"/>
    <cellStyle name="Простой" xfId="1" xr:uid="{9DFEA532-4408-4D5B-96FB-AA49FD8969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Лист1!$A$181</c:f>
              <c:strCache>
                <c:ptCount val="1"/>
                <c:pt idx="0">
                  <c:v>Недисконтированная окупаемость проекта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Лист1!$D$2:$M$2</c:f>
              <c:strCache>
                <c:ptCount val="10"/>
                <c:pt idx="0">
                  <c:v>Год 1</c:v>
                </c:pt>
                <c:pt idx="1">
                  <c:v>Год 2</c:v>
                </c:pt>
                <c:pt idx="2">
                  <c:v>Год 3</c:v>
                </c:pt>
                <c:pt idx="3">
                  <c:v>Год 4</c:v>
                </c:pt>
                <c:pt idx="4">
                  <c:v>Год 5</c:v>
                </c:pt>
                <c:pt idx="5">
                  <c:v>Год 6</c:v>
                </c:pt>
                <c:pt idx="6">
                  <c:v>Год 7</c:v>
                </c:pt>
                <c:pt idx="7">
                  <c:v>Год 8</c:v>
                </c:pt>
                <c:pt idx="8">
                  <c:v>Год 9</c:v>
                </c:pt>
                <c:pt idx="9">
                  <c:v>Год 10</c:v>
                </c:pt>
              </c:strCache>
            </c:strRef>
          </c:cat>
          <c:val>
            <c:numRef>
              <c:f>Лист1!$D$181:$M$181</c:f>
              <c:numCache>
                <c:formatCode>#,##0</c:formatCode>
                <c:ptCount val="10"/>
                <c:pt idx="0">
                  <c:v>-1.7999999999999998</c:v>
                </c:pt>
                <c:pt idx="1">
                  <c:v>-2.6618797124419773</c:v>
                </c:pt>
                <c:pt idx="2">
                  <c:v>13.225241549552827</c:v>
                </c:pt>
                <c:pt idx="3">
                  <c:v>31.344336784182975</c:v>
                </c:pt>
                <c:pt idx="4">
                  <c:v>50.184791028198319</c:v>
                </c:pt>
                <c:pt idx="5">
                  <c:v>69.775212241974288</c:v>
                </c:pt>
                <c:pt idx="6">
                  <c:v>90.145352704301288</c:v>
                </c:pt>
                <c:pt idx="7">
                  <c:v>111.28615478512137</c:v>
                </c:pt>
                <c:pt idx="8">
                  <c:v>133.26979854917425</c:v>
                </c:pt>
                <c:pt idx="9">
                  <c:v>156.12975126378927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6EF-4C36-B758-114CB3E4F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1134484271"/>
        <c:axId val="880168559"/>
      </c:lineChart>
      <c:catAx>
        <c:axId val="113448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0168559"/>
        <c:crosses val="autoZero"/>
        <c:auto val="1"/>
        <c:lblAlgn val="ctr"/>
        <c:lblOffset val="100"/>
        <c:noMultiLvlLbl val="0"/>
      </c:catAx>
      <c:valAx>
        <c:axId val="880168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34484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Дисконтированная окупаемость проекта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Лист1!$A$182</c:f>
              <c:strCache>
                <c:ptCount val="1"/>
                <c:pt idx="0">
                  <c:v>Дисконтированная окупаемость проекта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Лист1!$D$2:$M$2</c:f>
              <c:strCache>
                <c:ptCount val="10"/>
                <c:pt idx="0">
                  <c:v>Год 1</c:v>
                </c:pt>
                <c:pt idx="1">
                  <c:v>Год 2</c:v>
                </c:pt>
                <c:pt idx="2">
                  <c:v>Год 3</c:v>
                </c:pt>
                <c:pt idx="3">
                  <c:v>Год 4</c:v>
                </c:pt>
                <c:pt idx="4">
                  <c:v>Год 5</c:v>
                </c:pt>
                <c:pt idx="5">
                  <c:v>Год 6</c:v>
                </c:pt>
                <c:pt idx="6">
                  <c:v>Год 7</c:v>
                </c:pt>
                <c:pt idx="7">
                  <c:v>Год 8</c:v>
                </c:pt>
                <c:pt idx="8">
                  <c:v>Год 9</c:v>
                </c:pt>
                <c:pt idx="9">
                  <c:v>Год 10</c:v>
                </c:pt>
              </c:strCache>
            </c:strRef>
          </c:cat>
          <c:val>
            <c:numRef>
              <c:f>Лист1!$D$182:$M$182</c:f>
              <c:numCache>
                <c:formatCode>#,##0</c:formatCode>
                <c:ptCount val="10"/>
                <c:pt idx="0">
                  <c:v>-1.7999999999999998</c:v>
                </c:pt>
                <c:pt idx="1">
                  <c:v>-2.5494606195147629</c:v>
                </c:pt>
                <c:pt idx="2">
                  <c:v>9.4634855143187391</c:v>
                </c:pt>
                <c:pt idx="3">
                  <c:v>21.377084748069148</c:v>
                </c:pt>
                <c:pt idx="4">
                  <c:v>32.149175610531962</c:v>
                </c:pt>
                <c:pt idx="5">
                  <c:v>41.889077272715461</c:v>
                </c:pt>
                <c:pt idx="6">
                  <c:v>50.695651127174017</c:v>
                </c:pt>
                <c:pt idx="7">
                  <c:v>58.64326168303748</c:v>
                </c:pt>
                <c:pt idx="8">
                  <c:v>65.829753825108611</c:v>
                </c:pt>
                <c:pt idx="9">
                  <c:v>72.327979122888749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CA2-4C5B-8413-BF088C0B0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1134484271"/>
        <c:axId val="880168559"/>
      </c:lineChart>
      <c:catAx>
        <c:axId val="113448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0168559"/>
        <c:crosses val="autoZero"/>
        <c:auto val="1"/>
        <c:lblAlgn val="ctr"/>
        <c:lblOffset val="100"/>
        <c:noMultiLvlLbl val="0"/>
      </c:catAx>
      <c:valAx>
        <c:axId val="880168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34484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</xdr:colOff>
      <xdr:row>183</xdr:row>
      <xdr:rowOff>25978</xdr:rowOff>
    </xdr:from>
    <xdr:to>
      <xdr:col>4</xdr:col>
      <xdr:colOff>308263</xdr:colOff>
      <xdr:row>199</xdr:row>
      <xdr:rowOff>124691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3BBE12F-A512-49AF-9746-9DBEB03D9E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401772</xdr:colOff>
      <xdr:row>183</xdr:row>
      <xdr:rowOff>25978</xdr:rowOff>
    </xdr:from>
    <xdr:to>
      <xdr:col>12</xdr:col>
      <xdr:colOff>490095</xdr:colOff>
      <xdr:row>199</xdr:row>
      <xdr:rowOff>124691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88AC5983-3855-47BB-901D-BDD8494C6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7EBAE-9F68-4837-BF4D-EE943A9F936A}">
  <dimension ref="A1:P182"/>
  <sheetViews>
    <sheetView tabSelected="1" zoomScale="110" zoomScaleNormal="110" workbookViewId="0">
      <pane ySplit="2" topLeftCell="A159" activePane="bottomLeft" state="frozen"/>
      <selection pane="bottomLeft" activeCell="Q186" sqref="Q186"/>
    </sheetView>
  </sheetViews>
  <sheetFormatPr defaultColWidth="8.85546875" defaultRowHeight="12" x14ac:dyDescent="0.2"/>
  <cols>
    <col min="1" max="1" width="32.85546875" style="4" customWidth="1"/>
    <col min="2" max="2" width="8.5703125" style="4" customWidth="1"/>
    <col min="3" max="3" width="8.85546875" style="4"/>
    <col min="4" max="13" width="7.5703125" style="7" customWidth="1"/>
    <col min="14" max="16384" width="8.85546875" style="4"/>
  </cols>
  <sheetData>
    <row r="1" spans="1:16" x14ac:dyDescent="0.2">
      <c r="A1" s="37" t="s">
        <v>115</v>
      </c>
      <c r="B1" s="2"/>
      <c r="C1" s="2"/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O1" s="34" t="s">
        <v>113</v>
      </c>
      <c r="P1" s="35">
        <f ca="1">B178</f>
        <v>72.327979122888749</v>
      </c>
    </row>
    <row r="2" spans="1:16" ht="15.75" customHeight="1" x14ac:dyDescent="0.2">
      <c r="A2" s="37"/>
      <c r="B2" s="2"/>
      <c r="C2" s="2"/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O2" s="34" t="s">
        <v>114</v>
      </c>
      <c r="P2" s="36">
        <f ca="1">B179</f>
        <v>2.3892108847481586</v>
      </c>
    </row>
    <row r="4" spans="1:16" x14ac:dyDescent="0.2">
      <c r="A4" s="4" t="s">
        <v>26</v>
      </c>
      <c r="B4" s="5">
        <v>2</v>
      </c>
      <c r="C4" s="6" t="str">
        <f>CHOOSE(B4, "тыс. руб.", "млн руб.")</f>
        <v>млн руб.</v>
      </c>
    </row>
    <row r="6" spans="1:16" x14ac:dyDescent="0.2">
      <c r="A6" s="4" t="s">
        <v>22</v>
      </c>
      <c r="B6" s="8">
        <v>100</v>
      </c>
      <c r="C6" s="9" t="str">
        <f>CUR_NAME</f>
        <v>млн руб.</v>
      </c>
    </row>
    <row r="7" spans="1:16" x14ac:dyDescent="0.2">
      <c r="A7" s="4" t="s">
        <v>10</v>
      </c>
      <c r="C7" s="9" t="s">
        <v>11</v>
      </c>
      <c r="D7" s="10">
        <v>0.5</v>
      </c>
      <c r="E7" s="10">
        <v>1</v>
      </c>
      <c r="F7" s="10">
        <v>1</v>
      </c>
      <c r="G7" s="10">
        <v>1</v>
      </c>
      <c r="H7" s="10">
        <f t="shared" ref="G7:M8" si="0">G7</f>
        <v>1</v>
      </c>
      <c r="I7" s="10">
        <f t="shared" si="0"/>
        <v>1</v>
      </c>
      <c r="J7" s="10">
        <f t="shared" si="0"/>
        <v>1</v>
      </c>
      <c r="K7" s="10">
        <f t="shared" si="0"/>
        <v>1</v>
      </c>
      <c r="L7" s="10">
        <f t="shared" si="0"/>
        <v>1</v>
      </c>
      <c r="M7" s="10">
        <f t="shared" si="0"/>
        <v>1</v>
      </c>
    </row>
    <row r="8" spans="1:16" x14ac:dyDescent="0.2">
      <c r="A8" s="4" t="s">
        <v>12</v>
      </c>
      <c r="C8" s="9" t="s">
        <v>11</v>
      </c>
      <c r="D8" s="11">
        <v>0.04</v>
      </c>
      <c r="E8" s="11">
        <f>D8</f>
        <v>0.04</v>
      </c>
      <c r="F8" s="11">
        <f t="shared" ref="F8" si="1">E8</f>
        <v>0.04</v>
      </c>
      <c r="G8" s="11">
        <f t="shared" si="0"/>
        <v>0.04</v>
      </c>
      <c r="H8" s="11">
        <f t="shared" si="0"/>
        <v>0.04</v>
      </c>
      <c r="I8" s="11">
        <f t="shared" si="0"/>
        <v>0.04</v>
      </c>
      <c r="J8" s="11">
        <f t="shared" si="0"/>
        <v>0.04</v>
      </c>
      <c r="K8" s="11">
        <f t="shared" si="0"/>
        <v>0.04</v>
      </c>
      <c r="L8" s="11">
        <f t="shared" si="0"/>
        <v>0.04</v>
      </c>
      <c r="M8" s="11">
        <f t="shared" si="0"/>
        <v>0.04</v>
      </c>
    </row>
    <row r="9" spans="1:16" x14ac:dyDescent="0.2">
      <c r="A9" s="4" t="s">
        <v>14</v>
      </c>
      <c r="C9" s="9"/>
      <c r="D9" s="12">
        <f>1+D8</f>
        <v>1.04</v>
      </c>
      <c r="E9" s="12">
        <f>D9*(1+E8)</f>
        <v>1.0816000000000001</v>
      </c>
      <c r="F9" s="12">
        <f t="shared" ref="F9:M9" si="2">E9*(1+F8)</f>
        <v>1.1248640000000001</v>
      </c>
      <c r="G9" s="12">
        <f t="shared" si="2"/>
        <v>1.1698585600000002</v>
      </c>
      <c r="H9" s="12">
        <f t="shared" si="2"/>
        <v>1.2166529024000003</v>
      </c>
      <c r="I9" s="12">
        <f t="shared" si="2"/>
        <v>1.2653190184960004</v>
      </c>
      <c r="J9" s="12">
        <f t="shared" si="2"/>
        <v>1.3159317792358405</v>
      </c>
      <c r="K9" s="12">
        <f t="shared" si="2"/>
        <v>1.3685690504052741</v>
      </c>
      <c r="L9" s="12">
        <f t="shared" si="2"/>
        <v>1.4233118124214852</v>
      </c>
      <c r="M9" s="12">
        <f t="shared" si="2"/>
        <v>1.4802442849183446</v>
      </c>
    </row>
    <row r="10" spans="1:16" x14ac:dyDescent="0.2">
      <c r="A10" s="4" t="s">
        <v>13</v>
      </c>
      <c r="D10" s="13">
        <f>$B$6*D7*D9</f>
        <v>52</v>
      </c>
      <c r="E10" s="13">
        <f t="shared" ref="E10:M10" si="3">$B$6*E7*E9</f>
        <v>108.16000000000001</v>
      </c>
      <c r="F10" s="13">
        <f t="shared" si="3"/>
        <v>112.4864</v>
      </c>
      <c r="G10" s="13">
        <f t="shared" si="3"/>
        <v>116.98585600000003</v>
      </c>
      <c r="H10" s="13">
        <f t="shared" si="3"/>
        <v>121.66529024000003</v>
      </c>
      <c r="I10" s="13">
        <f t="shared" si="3"/>
        <v>126.53190184960003</v>
      </c>
      <c r="J10" s="13">
        <f t="shared" si="3"/>
        <v>131.59317792358405</v>
      </c>
      <c r="K10" s="13">
        <f t="shared" si="3"/>
        <v>136.85690504052741</v>
      </c>
      <c r="L10" s="13">
        <f t="shared" si="3"/>
        <v>142.33118124214852</v>
      </c>
      <c r="M10" s="13">
        <f t="shared" si="3"/>
        <v>148.02442849183447</v>
      </c>
    </row>
    <row r="12" spans="1:16" s="16" customFormat="1" ht="20.100000000000001" customHeight="1" thickBot="1" x14ac:dyDescent="0.3">
      <c r="A12" s="14" t="s">
        <v>15</v>
      </c>
      <c r="B12" s="14"/>
      <c r="C12" s="14"/>
      <c r="D12" s="15" t="str">
        <f>D$2</f>
        <v>Год 1</v>
      </c>
      <c r="E12" s="15" t="str">
        <f t="shared" ref="E12:M12" si="4">E$2</f>
        <v>Год 2</v>
      </c>
      <c r="F12" s="15" t="str">
        <f t="shared" si="4"/>
        <v>Год 3</v>
      </c>
      <c r="G12" s="15" t="str">
        <f t="shared" si="4"/>
        <v>Год 4</v>
      </c>
      <c r="H12" s="15" t="str">
        <f t="shared" si="4"/>
        <v>Год 5</v>
      </c>
      <c r="I12" s="15" t="str">
        <f t="shared" si="4"/>
        <v>Год 6</v>
      </c>
      <c r="J12" s="15" t="str">
        <f t="shared" si="4"/>
        <v>Год 7</v>
      </c>
      <c r="K12" s="15" t="str">
        <f t="shared" si="4"/>
        <v>Год 8</v>
      </c>
      <c r="L12" s="15" t="str">
        <f t="shared" si="4"/>
        <v>Год 9</v>
      </c>
      <c r="M12" s="15" t="str">
        <f t="shared" si="4"/>
        <v>Год 10</v>
      </c>
    </row>
    <row r="13" spans="1:16" s="17" customFormat="1" x14ac:dyDescent="0.2"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6" x14ac:dyDescent="0.2">
      <c r="A14" s="4" t="s">
        <v>16</v>
      </c>
      <c r="B14" s="19">
        <v>0.7</v>
      </c>
      <c r="C14" s="9" t="s">
        <v>11</v>
      </c>
      <c r="D14" s="11">
        <f>$B14</f>
        <v>0.7</v>
      </c>
      <c r="E14" s="11">
        <f t="shared" ref="E14:M14" si="5">$B14</f>
        <v>0.7</v>
      </c>
      <c r="F14" s="11">
        <f t="shared" si="5"/>
        <v>0.7</v>
      </c>
      <c r="G14" s="11">
        <f t="shared" si="5"/>
        <v>0.7</v>
      </c>
      <c r="H14" s="11">
        <f t="shared" si="5"/>
        <v>0.7</v>
      </c>
      <c r="I14" s="11">
        <f t="shared" si="5"/>
        <v>0.7</v>
      </c>
      <c r="J14" s="11">
        <f t="shared" si="5"/>
        <v>0.7</v>
      </c>
      <c r="K14" s="11">
        <f t="shared" si="5"/>
        <v>0.7</v>
      </c>
      <c r="L14" s="11">
        <f t="shared" si="5"/>
        <v>0.7</v>
      </c>
      <c r="M14" s="11">
        <f t="shared" si="5"/>
        <v>0.7</v>
      </c>
    </row>
    <row r="15" spans="1:16" x14ac:dyDescent="0.2">
      <c r="A15" s="4" t="s">
        <v>17</v>
      </c>
      <c r="B15" s="19">
        <v>0.05</v>
      </c>
      <c r="C15" s="9" t="s">
        <v>11</v>
      </c>
      <c r="D15" s="11">
        <f t="shared" ref="D15:M22" si="6">$B15</f>
        <v>0.05</v>
      </c>
      <c r="E15" s="11">
        <f t="shared" si="6"/>
        <v>0.05</v>
      </c>
      <c r="F15" s="11">
        <f t="shared" si="6"/>
        <v>0.05</v>
      </c>
      <c r="G15" s="11">
        <f t="shared" si="6"/>
        <v>0.05</v>
      </c>
      <c r="H15" s="11">
        <f t="shared" si="6"/>
        <v>0.05</v>
      </c>
      <c r="I15" s="11">
        <f t="shared" si="6"/>
        <v>0.05</v>
      </c>
      <c r="J15" s="11">
        <f t="shared" si="6"/>
        <v>0.05</v>
      </c>
      <c r="K15" s="11">
        <f t="shared" si="6"/>
        <v>0.05</v>
      </c>
      <c r="L15" s="11">
        <f t="shared" si="6"/>
        <v>0.05</v>
      </c>
      <c r="M15" s="11">
        <f t="shared" si="6"/>
        <v>0.05</v>
      </c>
    </row>
    <row r="16" spans="1:16" x14ac:dyDescent="0.2">
      <c r="A16" s="4" t="s">
        <v>18</v>
      </c>
      <c r="B16" s="19">
        <v>5.0000000000000001E-3</v>
      </c>
      <c r="C16" s="9" t="s">
        <v>11</v>
      </c>
      <c r="D16" s="11">
        <f t="shared" si="6"/>
        <v>5.0000000000000001E-3</v>
      </c>
      <c r="E16" s="11">
        <f t="shared" si="6"/>
        <v>5.0000000000000001E-3</v>
      </c>
      <c r="F16" s="11">
        <f t="shared" si="6"/>
        <v>5.0000000000000001E-3</v>
      </c>
      <c r="G16" s="11">
        <f t="shared" si="6"/>
        <v>5.0000000000000001E-3</v>
      </c>
      <c r="H16" s="11">
        <f t="shared" si="6"/>
        <v>5.0000000000000001E-3</v>
      </c>
      <c r="I16" s="11">
        <f t="shared" si="6"/>
        <v>5.0000000000000001E-3</v>
      </c>
      <c r="J16" s="11">
        <f t="shared" si="6"/>
        <v>5.0000000000000001E-3</v>
      </c>
      <c r="K16" s="11">
        <f t="shared" si="6"/>
        <v>5.0000000000000001E-3</v>
      </c>
      <c r="L16" s="11">
        <f t="shared" si="6"/>
        <v>5.0000000000000001E-3</v>
      </c>
      <c r="M16" s="11">
        <f t="shared" si="6"/>
        <v>5.0000000000000001E-3</v>
      </c>
    </row>
    <row r="17" spans="1:13" x14ac:dyDescent="0.2">
      <c r="A17" s="4" t="s">
        <v>19</v>
      </c>
      <c r="B17" s="19">
        <v>0.05</v>
      </c>
      <c r="C17" s="9" t="s">
        <v>11</v>
      </c>
      <c r="D17" s="11">
        <f t="shared" si="6"/>
        <v>0.05</v>
      </c>
      <c r="E17" s="11">
        <f t="shared" si="6"/>
        <v>0.05</v>
      </c>
      <c r="F17" s="11">
        <f t="shared" si="6"/>
        <v>0.05</v>
      </c>
      <c r="G17" s="11">
        <f t="shared" si="6"/>
        <v>0.05</v>
      </c>
      <c r="H17" s="11">
        <f t="shared" si="6"/>
        <v>0.05</v>
      </c>
      <c r="I17" s="11">
        <f t="shared" si="6"/>
        <v>0.05</v>
      </c>
      <c r="J17" s="11">
        <f t="shared" si="6"/>
        <v>0.05</v>
      </c>
      <c r="K17" s="11">
        <f t="shared" si="6"/>
        <v>0.05</v>
      </c>
      <c r="L17" s="11">
        <f t="shared" si="6"/>
        <v>0.05</v>
      </c>
      <c r="M17" s="11">
        <f t="shared" si="6"/>
        <v>0.05</v>
      </c>
    </row>
    <row r="18" spans="1:13" x14ac:dyDescent="0.2">
      <c r="B18" s="19"/>
      <c r="C18" s="9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x14ac:dyDescent="0.2">
      <c r="A19" s="4" t="s">
        <v>27</v>
      </c>
      <c r="B19" s="19"/>
      <c r="C19" s="9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x14ac:dyDescent="0.2">
      <c r="A20" s="4" t="s">
        <v>29</v>
      </c>
      <c r="B20" s="19">
        <v>0.05</v>
      </c>
      <c r="C20" s="9" t="s">
        <v>11</v>
      </c>
      <c r="D20" s="11">
        <f t="shared" si="6"/>
        <v>0.05</v>
      </c>
      <c r="E20" s="11">
        <f t="shared" si="6"/>
        <v>0.05</v>
      </c>
      <c r="F20" s="11">
        <f t="shared" si="6"/>
        <v>0.05</v>
      </c>
      <c r="G20" s="11">
        <f t="shared" si="6"/>
        <v>0.05</v>
      </c>
      <c r="H20" s="11">
        <f t="shared" si="6"/>
        <v>0.05</v>
      </c>
      <c r="I20" s="11">
        <f t="shared" si="6"/>
        <v>0.05</v>
      </c>
      <c r="J20" s="11">
        <f t="shared" si="6"/>
        <v>0.05</v>
      </c>
      <c r="K20" s="11">
        <f t="shared" si="6"/>
        <v>0.05</v>
      </c>
      <c r="L20" s="11">
        <f t="shared" si="6"/>
        <v>0.05</v>
      </c>
      <c r="M20" s="11">
        <f t="shared" si="6"/>
        <v>0.05</v>
      </c>
    </row>
    <row r="21" spans="1:13" x14ac:dyDescent="0.2">
      <c r="A21" s="4" t="s">
        <v>30</v>
      </c>
      <c r="B21" s="19">
        <v>5.5E-2</v>
      </c>
      <c r="C21" s="9" t="s">
        <v>11</v>
      </c>
      <c r="D21" s="11">
        <f t="shared" si="6"/>
        <v>5.5E-2</v>
      </c>
      <c r="E21" s="11">
        <f t="shared" si="6"/>
        <v>5.5E-2</v>
      </c>
      <c r="F21" s="11">
        <f t="shared" si="6"/>
        <v>5.5E-2</v>
      </c>
      <c r="G21" s="11">
        <f t="shared" si="6"/>
        <v>5.5E-2</v>
      </c>
      <c r="H21" s="11">
        <f t="shared" si="6"/>
        <v>5.5E-2</v>
      </c>
      <c r="I21" s="11">
        <f t="shared" si="6"/>
        <v>5.5E-2</v>
      </c>
      <c r="J21" s="11">
        <f t="shared" si="6"/>
        <v>5.5E-2</v>
      </c>
      <c r="K21" s="11">
        <f t="shared" si="6"/>
        <v>5.5E-2</v>
      </c>
      <c r="L21" s="11">
        <f t="shared" si="6"/>
        <v>5.5E-2</v>
      </c>
      <c r="M21" s="11">
        <f t="shared" si="6"/>
        <v>5.5E-2</v>
      </c>
    </row>
    <row r="22" spans="1:13" x14ac:dyDescent="0.2">
      <c r="A22" s="4" t="s">
        <v>28</v>
      </c>
      <c r="B22" s="19">
        <v>0.3</v>
      </c>
      <c r="C22" s="9" t="s">
        <v>11</v>
      </c>
      <c r="D22" s="11">
        <f t="shared" si="6"/>
        <v>0.3</v>
      </c>
      <c r="E22" s="11">
        <f t="shared" si="6"/>
        <v>0.3</v>
      </c>
      <c r="F22" s="11">
        <f t="shared" si="6"/>
        <v>0.3</v>
      </c>
      <c r="G22" s="11">
        <f t="shared" si="6"/>
        <v>0.3</v>
      </c>
      <c r="H22" s="11">
        <f t="shared" si="6"/>
        <v>0.3</v>
      </c>
      <c r="I22" s="11">
        <f t="shared" si="6"/>
        <v>0.3</v>
      </c>
      <c r="J22" s="11">
        <f t="shared" si="6"/>
        <v>0.3</v>
      </c>
      <c r="K22" s="11">
        <f t="shared" si="6"/>
        <v>0.3</v>
      </c>
      <c r="L22" s="11">
        <f t="shared" si="6"/>
        <v>0.3</v>
      </c>
      <c r="M22" s="11">
        <f t="shared" si="6"/>
        <v>0.3</v>
      </c>
    </row>
    <row r="24" spans="1:13" s="16" customFormat="1" ht="20.100000000000001" customHeight="1" thickBot="1" x14ac:dyDescent="0.3">
      <c r="A24" s="14" t="s">
        <v>23</v>
      </c>
      <c r="B24" s="14"/>
      <c r="C24" s="14"/>
      <c r="D24" s="15" t="str">
        <f>D$2</f>
        <v>Год 1</v>
      </c>
      <c r="E24" s="15" t="str">
        <f t="shared" ref="E24:M24" si="7">E$2</f>
        <v>Год 2</v>
      </c>
      <c r="F24" s="15" t="str">
        <f t="shared" si="7"/>
        <v>Год 3</v>
      </c>
      <c r="G24" s="15" t="str">
        <f t="shared" si="7"/>
        <v>Год 4</v>
      </c>
      <c r="H24" s="15" t="str">
        <f t="shared" si="7"/>
        <v>Год 5</v>
      </c>
      <c r="I24" s="15" t="str">
        <f t="shared" si="7"/>
        <v>Год 6</v>
      </c>
      <c r="J24" s="15" t="str">
        <f t="shared" si="7"/>
        <v>Год 7</v>
      </c>
      <c r="K24" s="15" t="str">
        <f t="shared" si="7"/>
        <v>Год 8</v>
      </c>
      <c r="L24" s="15" t="str">
        <f t="shared" si="7"/>
        <v>Год 9</v>
      </c>
      <c r="M24" s="15" t="str">
        <f t="shared" si="7"/>
        <v>Год 10</v>
      </c>
    </row>
    <row r="25" spans="1:13" x14ac:dyDescent="0.2">
      <c r="A25" s="17"/>
      <c r="B25" s="17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x14ac:dyDescent="0.2">
      <c r="A26" s="4" t="s">
        <v>16</v>
      </c>
      <c r="C26" s="9" t="str">
        <f>CUR_NAME</f>
        <v>млн руб.</v>
      </c>
      <c r="D26" s="20">
        <f>D$10*D14</f>
        <v>36.4</v>
      </c>
      <c r="E26" s="20">
        <f t="shared" ref="E26:M26" si="8">E$10*E14</f>
        <v>75.712000000000003</v>
      </c>
      <c r="F26" s="20">
        <f>F$10*F14</f>
        <v>78.740479999999991</v>
      </c>
      <c r="G26" s="20">
        <f t="shared" si="8"/>
        <v>81.890099200000009</v>
      </c>
      <c r="H26" s="20">
        <f t="shared" si="8"/>
        <v>85.165703168000022</v>
      </c>
      <c r="I26" s="20">
        <f t="shared" si="8"/>
        <v>88.572331294720016</v>
      </c>
      <c r="J26" s="20">
        <f t="shared" si="8"/>
        <v>92.115224546508827</v>
      </c>
      <c r="K26" s="20">
        <f t="shared" si="8"/>
        <v>95.799833528369177</v>
      </c>
      <c r="L26" s="20">
        <f t="shared" si="8"/>
        <v>99.631826869503954</v>
      </c>
      <c r="M26" s="20">
        <f t="shared" si="8"/>
        <v>103.61709994428412</v>
      </c>
    </row>
    <row r="27" spans="1:13" x14ac:dyDescent="0.2">
      <c r="A27" s="4" t="s">
        <v>17</v>
      </c>
      <c r="C27" s="9" t="str">
        <f>CUR_NAME</f>
        <v>млн руб.</v>
      </c>
      <c r="D27" s="20">
        <f>D$10*D15</f>
        <v>2.6</v>
      </c>
      <c r="E27" s="20">
        <f t="shared" ref="E27:M27" si="9">E$10*E15</f>
        <v>5.4080000000000013</v>
      </c>
      <c r="F27" s="20">
        <f t="shared" si="9"/>
        <v>5.6243200000000009</v>
      </c>
      <c r="G27" s="20">
        <f t="shared" si="9"/>
        <v>5.8492928000000015</v>
      </c>
      <c r="H27" s="20">
        <f t="shared" si="9"/>
        <v>6.0832645120000022</v>
      </c>
      <c r="I27" s="20">
        <f t="shared" si="9"/>
        <v>6.3265950924800016</v>
      </c>
      <c r="J27" s="20">
        <f t="shared" si="9"/>
        <v>6.5796588961792031</v>
      </c>
      <c r="K27" s="20">
        <f t="shared" si="9"/>
        <v>6.842845252026371</v>
      </c>
      <c r="L27" s="20">
        <f t="shared" si="9"/>
        <v>7.1165590621074264</v>
      </c>
      <c r="M27" s="20">
        <f t="shared" si="9"/>
        <v>7.4012214245917241</v>
      </c>
    </row>
    <row r="28" spans="1:13" x14ac:dyDescent="0.2">
      <c r="A28" s="4" t="s">
        <v>18</v>
      </c>
      <c r="C28" s="9" t="str">
        <f>CUR_NAME</f>
        <v>млн руб.</v>
      </c>
      <c r="D28" s="20">
        <f>D$10*D16</f>
        <v>0.26</v>
      </c>
      <c r="E28" s="20">
        <f t="shared" ref="E28:M28" si="10">E$10*E16</f>
        <v>0.54080000000000006</v>
      </c>
      <c r="F28" s="20">
        <f t="shared" si="10"/>
        <v>0.56243200000000004</v>
      </c>
      <c r="G28" s="20">
        <f t="shared" si="10"/>
        <v>0.58492928000000011</v>
      </c>
      <c r="H28" s="20">
        <f t="shared" si="10"/>
        <v>0.60832645120000017</v>
      </c>
      <c r="I28" s="20">
        <f t="shared" si="10"/>
        <v>0.63265950924800018</v>
      </c>
      <c r="J28" s="20">
        <f t="shared" si="10"/>
        <v>0.65796588961792024</v>
      </c>
      <c r="K28" s="20">
        <f t="shared" si="10"/>
        <v>0.68428452520263705</v>
      </c>
      <c r="L28" s="20">
        <f t="shared" si="10"/>
        <v>0.71165590621074259</v>
      </c>
      <c r="M28" s="20">
        <f t="shared" si="10"/>
        <v>0.74012214245917241</v>
      </c>
    </row>
    <row r="29" spans="1:13" x14ac:dyDescent="0.2">
      <c r="A29" s="4" t="s">
        <v>19</v>
      </c>
      <c r="C29" s="9" t="str">
        <f>CUR_NAME</f>
        <v>млн руб.</v>
      </c>
      <c r="D29" s="20">
        <f>D$10*D17</f>
        <v>2.6</v>
      </c>
      <c r="E29" s="20">
        <f t="shared" ref="E29:M29" si="11">E$10*E17</f>
        <v>5.4080000000000013</v>
      </c>
      <c r="F29" s="20">
        <f t="shared" si="11"/>
        <v>5.6243200000000009</v>
      </c>
      <c r="G29" s="20">
        <f t="shared" si="11"/>
        <v>5.8492928000000015</v>
      </c>
      <c r="H29" s="20">
        <f t="shared" si="11"/>
        <v>6.0832645120000022</v>
      </c>
      <c r="I29" s="20">
        <f t="shared" si="11"/>
        <v>6.3265950924800016</v>
      </c>
      <c r="J29" s="20">
        <f t="shared" si="11"/>
        <v>6.5796588961792031</v>
      </c>
      <c r="K29" s="20">
        <f t="shared" si="11"/>
        <v>6.842845252026371</v>
      </c>
      <c r="L29" s="20">
        <f t="shared" si="11"/>
        <v>7.1165590621074264</v>
      </c>
      <c r="M29" s="20">
        <f t="shared" si="11"/>
        <v>7.4012214245917241</v>
      </c>
    </row>
    <row r="30" spans="1:13" x14ac:dyDescent="0.2">
      <c r="C30" s="9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3" x14ac:dyDescent="0.2">
      <c r="A31" s="4" t="s">
        <v>27</v>
      </c>
      <c r="C31" s="9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13" x14ac:dyDescent="0.2">
      <c r="A32" s="4" t="s">
        <v>29</v>
      </c>
      <c r="C32" s="9" t="str">
        <f>CUR_NAME</f>
        <v>млн руб.</v>
      </c>
      <c r="D32" s="20">
        <f t="shared" ref="D32:M32" si="12">D$10*D20</f>
        <v>2.6</v>
      </c>
      <c r="E32" s="20">
        <f t="shared" si="12"/>
        <v>5.4080000000000013</v>
      </c>
      <c r="F32" s="20">
        <f t="shared" si="12"/>
        <v>5.6243200000000009</v>
      </c>
      <c r="G32" s="20">
        <f t="shared" si="12"/>
        <v>5.8492928000000015</v>
      </c>
      <c r="H32" s="20">
        <f>H$10*H20</f>
        <v>6.0832645120000022</v>
      </c>
      <c r="I32" s="20">
        <f t="shared" si="12"/>
        <v>6.3265950924800016</v>
      </c>
      <c r="J32" s="20">
        <f t="shared" si="12"/>
        <v>6.5796588961792031</v>
      </c>
      <c r="K32" s="20">
        <f t="shared" si="12"/>
        <v>6.842845252026371</v>
      </c>
      <c r="L32" s="20">
        <f t="shared" si="12"/>
        <v>7.1165590621074264</v>
      </c>
      <c r="M32" s="20">
        <f t="shared" si="12"/>
        <v>7.4012214245917241</v>
      </c>
    </row>
    <row r="33" spans="1:13" x14ac:dyDescent="0.2">
      <c r="A33" s="4" t="s">
        <v>30</v>
      </c>
      <c r="C33" s="9" t="str">
        <f>CUR_NAME</f>
        <v>млн руб.</v>
      </c>
      <c r="D33" s="20">
        <f t="shared" ref="D33:M33" si="13">D$10*D21</f>
        <v>2.86</v>
      </c>
      <c r="E33" s="20">
        <f t="shared" si="13"/>
        <v>5.9488000000000003</v>
      </c>
      <c r="F33" s="20">
        <f t="shared" si="13"/>
        <v>6.1867520000000003</v>
      </c>
      <c r="G33" s="20">
        <f t="shared" si="13"/>
        <v>6.4342220800000014</v>
      </c>
      <c r="H33" s="20">
        <f t="shared" si="13"/>
        <v>6.6915909632000021</v>
      </c>
      <c r="I33" s="20">
        <f t="shared" si="13"/>
        <v>6.9592546017280021</v>
      </c>
      <c r="J33" s="20">
        <f t="shared" si="13"/>
        <v>7.2376247857971228</v>
      </c>
      <c r="K33" s="20">
        <f t="shared" si="13"/>
        <v>7.5271297772290078</v>
      </c>
      <c r="L33" s="20">
        <f t="shared" si="13"/>
        <v>7.8282149683181688</v>
      </c>
      <c r="M33" s="20">
        <f t="shared" si="13"/>
        <v>8.141343567050896</v>
      </c>
    </row>
    <row r="34" spans="1:13" x14ac:dyDescent="0.2">
      <c r="A34" s="4" t="s">
        <v>28</v>
      </c>
      <c r="C34" s="9" t="str">
        <f>CUR_NAME</f>
        <v>млн руб.</v>
      </c>
      <c r="D34" s="20">
        <f t="shared" ref="D34:M34" si="14">D$10*D22</f>
        <v>15.6</v>
      </c>
      <c r="E34" s="20">
        <f t="shared" si="14"/>
        <v>32.448</v>
      </c>
      <c r="F34" s="20">
        <f t="shared" si="14"/>
        <v>33.745919999999998</v>
      </c>
      <c r="G34" s="20">
        <f t="shared" si="14"/>
        <v>35.095756800000004</v>
      </c>
      <c r="H34" s="20">
        <f t="shared" si="14"/>
        <v>36.499587072000011</v>
      </c>
      <c r="I34" s="20">
        <f t="shared" si="14"/>
        <v>37.95957055488001</v>
      </c>
      <c r="J34" s="20">
        <f t="shared" si="14"/>
        <v>39.477953377075217</v>
      </c>
      <c r="K34" s="20">
        <f t="shared" si="14"/>
        <v>41.057071512158224</v>
      </c>
      <c r="L34" s="20">
        <f t="shared" si="14"/>
        <v>42.699354372644557</v>
      </c>
      <c r="M34" s="20">
        <f t="shared" si="14"/>
        <v>44.407328547550343</v>
      </c>
    </row>
    <row r="35" spans="1:13" x14ac:dyDescent="0.2">
      <c r="A35" s="4" t="s">
        <v>20</v>
      </c>
      <c r="B35" s="21">
        <v>87</v>
      </c>
      <c r="C35" s="9" t="s">
        <v>24</v>
      </c>
      <c r="D35" s="22">
        <f>$B$35*D9</f>
        <v>90.48</v>
      </c>
      <c r="E35" s="22">
        <f t="shared" ref="E35:M35" si="15">$B$35*E9</f>
        <v>94.09920000000001</v>
      </c>
      <c r="F35" s="22">
        <f t="shared" si="15"/>
        <v>97.863168000000002</v>
      </c>
      <c r="G35" s="22">
        <f t="shared" si="15"/>
        <v>101.77769472000001</v>
      </c>
      <c r="H35" s="22">
        <f t="shared" si="15"/>
        <v>105.84880250880003</v>
      </c>
      <c r="I35" s="22">
        <f t="shared" si="15"/>
        <v>110.08275460915203</v>
      </c>
      <c r="J35" s="22">
        <f t="shared" si="15"/>
        <v>114.48606479351812</v>
      </c>
      <c r="K35" s="22">
        <f t="shared" si="15"/>
        <v>119.06550738525884</v>
      </c>
      <c r="L35" s="22">
        <f t="shared" si="15"/>
        <v>123.82812768066921</v>
      </c>
      <c r="M35" s="22">
        <f t="shared" si="15"/>
        <v>128.78125278789597</v>
      </c>
    </row>
    <row r="36" spans="1:13" x14ac:dyDescent="0.2">
      <c r="A36" s="4" t="s">
        <v>21</v>
      </c>
      <c r="C36" s="9" t="s">
        <v>25</v>
      </c>
      <c r="D36" s="20">
        <f>ROUND(D34*IF($B$4=2,1000,1)/D35/12,0)</f>
        <v>14</v>
      </c>
      <c r="E36" s="20">
        <f t="shared" ref="E36:M36" si="16">ROUND(E34*IF($B$4=2,1000,1)/E35/12,0)</f>
        <v>29</v>
      </c>
      <c r="F36" s="20">
        <f t="shared" si="16"/>
        <v>29</v>
      </c>
      <c r="G36" s="20">
        <f t="shared" si="16"/>
        <v>29</v>
      </c>
      <c r="H36" s="20">
        <f t="shared" si="16"/>
        <v>29</v>
      </c>
      <c r="I36" s="20">
        <f t="shared" si="16"/>
        <v>29</v>
      </c>
      <c r="J36" s="20">
        <f t="shared" si="16"/>
        <v>29</v>
      </c>
      <c r="K36" s="20">
        <f t="shared" si="16"/>
        <v>29</v>
      </c>
      <c r="L36" s="20">
        <f t="shared" si="16"/>
        <v>29</v>
      </c>
      <c r="M36" s="20">
        <f t="shared" si="16"/>
        <v>29</v>
      </c>
    </row>
    <row r="38" spans="1:13" s="16" customFormat="1" ht="20.100000000000001" customHeight="1" thickBot="1" x14ac:dyDescent="0.3">
      <c r="A38" s="14" t="s">
        <v>31</v>
      </c>
      <c r="B38" s="14"/>
      <c r="C38" s="14"/>
      <c r="D38" s="15" t="str">
        <f>D$2</f>
        <v>Год 1</v>
      </c>
      <c r="E38" s="15" t="str">
        <f t="shared" ref="E38:M38" si="17">E$2</f>
        <v>Год 2</v>
      </c>
      <c r="F38" s="15" t="str">
        <f t="shared" si="17"/>
        <v>Год 3</v>
      </c>
      <c r="G38" s="15" t="str">
        <f t="shared" si="17"/>
        <v>Год 4</v>
      </c>
      <c r="H38" s="15" t="str">
        <f t="shared" si="17"/>
        <v>Год 5</v>
      </c>
      <c r="I38" s="15" t="str">
        <f t="shared" si="17"/>
        <v>Год 6</v>
      </c>
      <c r="J38" s="15" t="str">
        <f t="shared" si="17"/>
        <v>Год 7</v>
      </c>
      <c r="K38" s="15" t="str">
        <f t="shared" si="17"/>
        <v>Год 8</v>
      </c>
      <c r="L38" s="15" t="str">
        <f t="shared" si="17"/>
        <v>Год 9</v>
      </c>
      <c r="M38" s="15" t="str">
        <f t="shared" si="17"/>
        <v>Год 10</v>
      </c>
    </row>
    <row r="39" spans="1:13" x14ac:dyDescent="0.2">
      <c r="B39" s="7" t="s">
        <v>35</v>
      </c>
    </row>
    <row r="40" spans="1:13" x14ac:dyDescent="0.2">
      <c r="A40" s="4" t="s">
        <v>32</v>
      </c>
      <c r="B40" s="5">
        <v>30</v>
      </c>
      <c r="C40" s="9" t="str">
        <f>CUR_NAME</f>
        <v>млн руб.</v>
      </c>
      <c r="D40" s="20">
        <f>$B40*D$10/365</f>
        <v>4.2739726027397262</v>
      </c>
      <c r="E40" s="20">
        <f t="shared" ref="E40:M40" si="18">$B40*E$10/365</f>
        <v>8.8898630136986299</v>
      </c>
      <c r="F40" s="20">
        <f t="shared" si="18"/>
        <v>9.2454575342465759</v>
      </c>
      <c r="G40" s="20">
        <f t="shared" si="18"/>
        <v>9.6152758356164405</v>
      </c>
      <c r="H40" s="20">
        <f t="shared" si="18"/>
        <v>9.9998868690410987</v>
      </c>
      <c r="I40" s="20">
        <f t="shared" si="18"/>
        <v>10.399882343802743</v>
      </c>
      <c r="J40" s="20">
        <f t="shared" si="18"/>
        <v>10.815877637554854</v>
      </c>
      <c r="K40" s="20">
        <f t="shared" si="18"/>
        <v>11.248512743057047</v>
      </c>
      <c r="L40" s="20">
        <f t="shared" si="18"/>
        <v>11.698453252779331</v>
      </c>
      <c r="M40" s="20">
        <f t="shared" si="18"/>
        <v>12.166391382890504</v>
      </c>
    </row>
    <row r="41" spans="1:13" x14ac:dyDescent="0.2">
      <c r="A41" s="4" t="s">
        <v>33</v>
      </c>
      <c r="B41" s="5">
        <v>15</v>
      </c>
      <c r="C41" s="9" t="str">
        <f>CUR_NAME</f>
        <v>млн руб.</v>
      </c>
      <c r="D41" s="20">
        <f t="shared" ref="D41:M42" si="19">$B41*D$10/365</f>
        <v>2.1369863013698631</v>
      </c>
      <c r="E41" s="20">
        <f t="shared" si="19"/>
        <v>4.4449315068493149</v>
      </c>
      <c r="F41" s="20">
        <f t="shared" si="19"/>
        <v>4.622728767123288</v>
      </c>
      <c r="G41" s="20">
        <f t="shared" si="19"/>
        <v>4.8076379178082203</v>
      </c>
      <c r="H41" s="20">
        <f t="shared" si="19"/>
        <v>4.9999434345205493</v>
      </c>
      <c r="I41" s="20">
        <f t="shared" si="19"/>
        <v>5.1999411719013713</v>
      </c>
      <c r="J41" s="20">
        <f t="shared" si="19"/>
        <v>5.4079388187774269</v>
      </c>
      <c r="K41" s="20">
        <f t="shared" si="19"/>
        <v>5.6242563715285234</v>
      </c>
      <c r="L41" s="20">
        <f t="shared" si="19"/>
        <v>5.8492266263896653</v>
      </c>
      <c r="M41" s="20">
        <f t="shared" si="19"/>
        <v>6.0831956914452521</v>
      </c>
    </row>
    <row r="42" spans="1:13" x14ac:dyDescent="0.2">
      <c r="A42" s="4" t="s">
        <v>34</v>
      </c>
      <c r="B42" s="5">
        <v>15</v>
      </c>
      <c r="C42" s="9" t="str">
        <f>CUR_NAME</f>
        <v>млн руб.</v>
      </c>
      <c r="D42" s="20">
        <f t="shared" si="19"/>
        <v>2.1369863013698631</v>
      </c>
      <c r="E42" s="20">
        <f t="shared" si="19"/>
        <v>4.4449315068493149</v>
      </c>
      <c r="F42" s="20">
        <f t="shared" si="19"/>
        <v>4.622728767123288</v>
      </c>
      <c r="G42" s="20">
        <f t="shared" si="19"/>
        <v>4.8076379178082203</v>
      </c>
      <c r="H42" s="20">
        <f t="shared" si="19"/>
        <v>4.9999434345205493</v>
      </c>
      <c r="I42" s="20">
        <f t="shared" si="19"/>
        <v>5.1999411719013713</v>
      </c>
      <c r="J42" s="20">
        <f t="shared" si="19"/>
        <v>5.4079388187774269</v>
      </c>
      <c r="K42" s="20">
        <f t="shared" si="19"/>
        <v>5.6242563715285234</v>
      </c>
      <c r="L42" s="20">
        <f t="shared" si="19"/>
        <v>5.8492266263896653</v>
      </c>
      <c r="M42" s="20">
        <f t="shared" si="19"/>
        <v>6.0831956914452521</v>
      </c>
    </row>
    <row r="44" spans="1:13" x14ac:dyDescent="0.2">
      <c r="A44" s="4" t="s">
        <v>36</v>
      </c>
      <c r="C44" s="9" t="str">
        <f>CUR_NAME</f>
        <v>млн руб.</v>
      </c>
      <c r="D44" s="20">
        <f>D40+D41-D42</f>
        <v>4.2739726027397271</v>
      </c>
      <c r="E44" s="20">
        <f>E40+E41-E42</f>
        <v>8.8898630136986299</v>
      </c>
      <c r="F44" s="20">
        <f t="shared" ref="F44:M44" si="20">F40+F41-F42</f>
        <v>9.2454575342465759</v>
      </c>
      <c r="G44" s="20">
        <f t="shared" si="20"/>
        <v>9.6152758356164405</v>
      </c>
      <c r="H44" s="20">
        <f t="shared" si="20"/>
        <v>9.9998868690410987</v>
      </c>
      <c r="I44" s="20">
        <f t="shared" si="20"/>
        <v>10.399882343802741</v>
      </c>
      <c r="J44" s="20">
        <f t="shared" si="20"/>
        <v>10.815877637554852</v>
      </c>
      <c r="K44" s="20">
        <f t="shared" si="20"/>
        <v>11.248512743057045</v>
      </c>
      <c r="L44" s="20">
        <f t="shared" si="20"/>
        <v>11.698453252779331</v>
      </c>
      <c r="M44" s="20">
        <f t="shared" si="20"/>
        <v>12.166391382890506</v>
      </c>
    </row>
    <row r="45" spans="1:13" x14ac:dyDescent="0.2">
      <c r="A45" s="4" t="s">
        <v>37</v>
      </c>
      <c r="C45" s="9" t="str">
        <f>CUR_NAME</f>
        <v>млн руб.</v>
      </c>
      <c r="D45" s="20">
        <f>D44</f>
        <v>4.2739726027397271</v>
      </c>
      <c r="E45" s="20">
        <f>E44-D44</f>
        <v>4.6158904109589027</v>
      </c>
      <c r="F45" s="20">
        <f t="shared" ref="F45:M45" si="21">F44-E44</f>
        <v>0.35559452054794605</v>
      </c>
      <c r="G45" s="20">
        <f t="shared" si="21"/>
        <v>0.3698183013698646</v>
      </c>
      <c r="H45" s="20">
        <f t="shared" si="21"/>
        <v>0.38461103342465819</v>
      </c>
      <c r="I45" s="20">
        <f t="shared" si="21"/>
        <v>0.3999954747616421</v>
      </c>
      <c r="J45" s="20">
        <f t="shared" si="21"/>
        <v>0.41599529375211119</v>
      </c>
      <c r="K45" s="20">
        <f t="shared" si="21"/>
        <v>0.43263510550219308</v>
      </c>
      <c r="L45" s="20">
        <f t="shared" si="21"/>
        <v>0.4499405097222855</v>
      </c>
      <c r="M45" s="20">
        <f t="shared" si="21"/>
        <v>0.46793813011117535</v>
      </c>
    </row>
    <row r="47" spans="1:13" s="16" customFormat="1" ht="20.100000000000001" customHeight="1" thickBot="1" x14ac:dyDescent="0.3">
      <c r="A47" s="14" t="s">
        <v>38</v>
      </c>
      <c r="B47" s="14"/>
      <c r="C47" s="14"/>
      <c r="D47" s="15" t="str">
        <f>D$2</f>
        <v>Год 1</v>
      </c>
      <c r="E47" s="15" t="str">
        <f t="shared" ref="E47:M47" si="22">E$2</f>
        <v>Год 2</v>
      </c>
      <c r="F47" s="15" t="str">
        <f t="shared" si="22"/>
        <v>Год 3</v>
      </c>
      <c r="G47" s="15" t="str">
        <f t="shared" si="22"/>
        <v>Год 4</v>
      </c>
      <c r="H47" s="15" t="str">
        <f t="shared" si="22"/>
        <v>Год 5</v>
      </c>
      <c r="I47" s="15" t="str">
        <f t="shared" si="22"/>
        <v>Год 6</v>
      </c>
      <c r="J47" s="15" t="str">
        <f t="shared" si="22"/>
        <v>Год 7</v>
      </c>
      <c r="K47" s="15" t="str">
        <f t="shared" si="22"/>
        <v>Год 8</v>
      </c>
      <c r="L47" s="15" t="str">
        <f t="shared" si="22"/>
        <v>Год 9</v>
      </c>
      <c r="M47" s="15" t="str">
        <f t="shared" si="22"/>
        <v>Год 10</v>
      </c>
    </row>
    <row r="49" spans="1:13" x14ac:dyDescent="0.2">
      <c r="A49" s="4" t="s">
        <v>39</v>
      </c>
      <c r="B49" s="23">
        <v>0.2</v>
      </c>
    </row>
    <row r="50" spans="1:13" x14ac:dyDescent="0.2">
      <c r="A50" s="4" t="s">
        <v>40</v>
      </c>
      <c r="B50" s="7" t="str">
        <f>IF(SUM(D50:M50)=1, "ОК", "Ошибка")</f>
        <v>ОК</v>
      </c>
      <c r="C50" s="9" t="s">
        <v>11</v>
      </c>
      <c r="D50" s="24">
        <v>0.3</v>
      </c>
      <c r="E50" s="24">
        <v>0.7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</row>
    <row r="51" spans="1:13" x14ac:dyDescent="0.2">
      <c r="A51" s="4" t="s">
        <v>45</v>
      </c>
      <c r="B51" s="25">
        <f>SUM(D51:M51)</f>
        <v>20</v>
      </c>
      <c r="C51" s="9" t="str">
        <f>CUR_NAME</f>
        <v>млн руб.</v>
      </c>
      <c r="D51" s="20">
        <f>$B$49*$B$6*D50</f>
        <v>6</v>
      </c>
      <c r="E51" s="20">
        <f t="shared" ref="E51:M51" si="23">$B$49*$B$6*E50</f>
        <v>14</v>
      </c>
      <c r="F51" s="20">
        <f t="shared" si="23"/>
        <v>0</v>
      </c>
      <c r="G51" s="20">
        <f t="shared" si="23"/>
        <v>0</v>
      </c>
      <c r="H51" s="20">
        <f t="shared" si="23"/>
        <v>0</v>
      </c>
      <c r="I51" s="20">
        <f t="shared" si="23"/>
        <v>0</v>
      </c>
      <c r="J51" s="20">
        <f t="shared" si="23"/>
        <v>0</v>
      </c>
      <c r="K51" s="20">
        <f t="shared" si="23"/>
        <v>0</v>
      </c>
      <c r="L51" s="20">
        <f t="shared" si="23"/>
        <v>0</v>
      </c>
      <c r="M51" s="20">
        <f t="shared" si="23"/>
        <v>0</v>
      </c>
    </row>
    <row r="52" spans="1:13" x14ac:dyDescent="0.2">
      <c r="A52" s="4" t="s">
        <v>41</v>
      </c>
    </row>
    <row r="53" spans="1:13" x14ac:dyDescent="0.2">
      <c r="A53" s="4" t="s">
        <v>42</v>
      </c>
      <c r="B53" s="26">
        <f>1-B54-B55</f>
        <v>0.35000000000000003</v>
      </c>
      <c r="C53" s="9" t="s">
        <v>11</v>
      </c>
      <c r="D53" s="20">
        <f>D$51*$B53</f>
        <v>2.1</v>
      </c>
      <c r="E53" s="20">
        <f t="shared" ref="E53:M53" si="24">E$51*$B53</f>
        <v>4.9000000000000004</v>
      </c>
      <c r="F53" s="20">
        <f t="shared" si="24"/>
        <v>0</v>
      </c>
      <c r="G53" s="20">
        <f t="shared" si="24"/>
        <v>0</v>
      </c>
      <c r="H53" s="20">
        <f t="shared" si="24"/>
        <v>0</v>
      </c>
      <c r="I53" s="20">
        <f t="shared" si="24"/>
        <v>0</v>
      </c>
      <c r="J53" s="20">
        <f t="shared" si="24"/>
        <v>0</v>
      </c>
      <c r="K53" s="20">
        <f t="shared" si="24"/>
        <v>0</v>
      </c>
      <c r="L53" s="20">
        <f t="shared" si="24"/>
        <v>0</v>
      </c>
      <c r="M53" s="20">
        <f t="shared" si="24"/>
        <v>0</v>
      </c>
    </row>
    <row r="54" spans="1:13" x14ac:dyDescent="0.2">
      <c r="A54" s="4" t="s">
        <v>43</v>
      </c>
      <c r="B54" s="23">
        <v>0.6</v>
      </c>
      <c r="C54" s="9" t="s">
        <v>11</v>
      </c>
      <c r="D54" s="20">
        <f t="shared" ref="D54:M55" si="25">D$51*$B54</f>
        <v>3.5999999999999996</v>
      </c>
      <c r="E54" s="20">
        <f t="shared" si="25"/>
        <v>8.4</v>
      </c>
      <c r="F54" s="20">
        <f t="shared" si="25"/>
        <v>0</v>
      </c>
      <c r="G54" s="20">
        <f t="shared" si="25"/>
        <v>0</v>
      </c>
      <c r="H54" s="20">
        <f t="shared" si="25"/>
        <v>0</v>
      </c>
      <c r="I54" s="20">
        <f t="shared" si="25"/>
        <v>0</v>
      </c>
      <c r="J54" s="20">
        <f t="shared" si="25"/>
        <v>0</v>
      </c>
      <c r="K54" s="20">
        <f t="shared" si="25"/>
        <v>0</v>
      </c>
      <c r="L54" s="20">
        <f t="shared" si="25"/>
        <v>0</v>
      </c>
      <c r="M54" s="20">
        <f t="shared" si="25"/>
        <v>0</v>
      </c>
    </row>
    <row r="55" spans="1:13" x14ac:dyDescent="0.2">
      <c r="A55" s="4" t="s">
        <v>44</v>
      </c>
      <c r="B55" s="23">
        <v>0.05</v>
      </c>
      <c r="C55" s="9" t="s">
        <v>11</v>
      </c>
      <c r="D55" s="20">
        <f t="shared" si="25"/>
        <v>0.30000000000000004</v>
      </c>
      <c r="E55" s="20">
        <f t="shared" si="25"/>
        <v>0.70000000000000007</v>
      </c>
      <c r="F55" s="20">
        <f t="shared" si="25"/>
        <v>0</v>
      </c>
      <c r="G55" s="20">
        <f t="shared" si="25"/>
        <v>0</v>
      </c>
      <c r="H55" s="20">
        <f t="shared" si="25"/>
        <v>0</v>
      </c>
      <c r="I55" s="20">
        <f t="shared" si="25"/>
        <v>0</v>
      </c>
      <c r="J55" s="20">
        <f t="shared" si="25"/>
        <v>0</v>
      </c>
      <c r="K55" s="20">
        <f t="shared" si="25"/>
        <v>0</v>
      </c>
      <c r="L55" s="20">
        <f t="shared" si="25"/>
        <v>0</v>
      </c>
      <c r="M55" s="20">
        <f t="shared" si="25"/>
        <v>0</v>
      </c>
    </row>
    <row r="57" spans="1:13" x14ac:dyDescent="0.2">
      <c r="A57" s="4" t="s">
        <v>46</v>
      </c>
    </row>
    <row r="58" spans="1:13" x14ac:dyDescent="0.2">
      <c r="A58" s="4" t="s">
        <v>42</v>
      </c>
      <c r="C58" s="9" t="str">
        <f>CUR_NAME</f>
        <v>млн руб.</v>
      </c>
      <c r="D58" s="20">
        <f>D53</f>
        <v>2.1</v>
      </c>
      <c r="E58" s="20">
        <f>D58+E53</f>
        <v>7</v>
      </c>
      <c r="F58" s="20">
        <f t="shared" ref="F58:M58" si="26">E58+F53</f>
        <v>7</v>
      </c>
      <c r="G58" s="20">
        <f t="shared" si="26"/>
        <v>7</v>
      </c>
      <c r="H58" s="20">
        <f t="shared" si="26"/>
        <v>7</v>
      </c>
      <c r="I58" s="20">
        <f t="shared" si="26"/>
        <v>7</v>
      </c>
      <c r="J58" s="20">
        <f t="shared" si="26"/>
        <v>7</v>
      </c>
      <c r="K58" s="20">
        <f t="shared" si="26"/>
        <v>7</v>
      </c>
      <c r="L58" s="20">
        <f t="shared" si="26"/>
        <v>7</v>
      </c>
      <c r="M58" s="20">
        <f t="shared" si="26"/>
        <v>7</v>
      </c>
    </row>
    <row r="59" spans="1:13" x14ac:dyDescent="0.2">
      <c r="A59" s="4" t="s">
        <v>43</v>
      </c>
      <c r="C59" s="9" t="str">
        <f>CUR_NAME</f>
        <v>млн руб.</v>
      </c>
      <c r="D59" s="20">
        <f t="shared" ref="D59:D60" si="27">D54</f>
        <v>3.5999999999999996</v>
      </c>
      <c r="E59" s="20">
        <f t="shared" ref="E59:M59" si="28">D59+E54</f>
        <v>12</v>
      </c>
      <c r="F59" s="20">
        <f t="shared" si="28"/>
        <v>12</v>
      </c>
      <c r="G59" s="20">
        <f t="shared" si="28"/>
        <v>12</v>
      </c>
      <c r="H59" s="20">
        <f t="shared" si="28"/>
        <v>12</v>
      </c>
      <c r="I59" s="20">
        <f t="shared" si="28"/>
        <v>12</v>
      </c>
      <c r="J59" s="20">
        <f t="shared" si="28"/>
        <v>12</v>
      </c>
      <c r="K59" s="20">
        <f t="shared" si="28"/>
        <v>12</v>
      </c>
      <c r="L59" s="20">
        <f t="shared" si="28"/>
        <v>12</v>
      </c>
      <c r="M59" s="20">
        <f t="shared" si="28"/>
        <v>12</v>
      </c>
    </row>
    <row r="60" spans="1:13" x14ac:dyDescent="0.2">
      <c r="A60" s="4" t="s">
        <v>44</v>
      </c>
      <c r="C60" s="9" t="str">
        <f>CUR_NAME</f>
        <v>млн руб.</v>
      </c>
      <c r="D60" s="20">
        <f t="shared" si="27"/>
        <v>0.30000000000000004</v>
      </c>
      <c r="E60" s="20">
        <f t="shared" ref="E60:M60" si="29">D60+E55</f>
        <v>1</v>
      </c>
      <c r="F60" s="20">
        <f t="shared" si="29"/>
        <v>1</v>
      </c>
      <c r="G60" s="20">
        <f t="shared" si="29"/>
        <v>1</v>
      </c>
      <c r="H60" s="20">
        <f t="shared" si="29"/>
        <v>1</v>
      </c>
      <c r="I60" s="20">
        <f t="shared" si="29"/>
        <v>1</v>
      </c>
      <c r="J60" s="20">
        <f t="shared" si="29"/>
        <v>1</v>
      </c>
      <c r="K60" s="20">
        <f t="shared" si="29"/>
        <v>1</v>
      </c>
      <c r="L60" s="20">
        <f t="shared" si="29"/>
        <v>1</v>
      </c>
      <c r="M60" s="20">
        <f t="shared" si="29"/>
        <v>1</v>
      </c>
    </row>
    <row r="62" spans="1:13" x14ac:dyDescent="0.2">
      <c r="A62" s="4" t="s">
        <v>47</v>
      </c>
      <c r="B62" s="4">
        <f>MATCH(0, D50:M50, 0)</f>
        <v>3</v>
      </c>
    </row>
    <row r="63" spans="1:13" x14ac:dyDescent="0.2">
      <c r="B63" s="7" t="s">
        <v>56</v>
      </c>
    </row>
    <row r="64" spans="1:13" x14ac:dyDescent="0.2">
      <c r="A64" s="4" t="s">
        <v>42</v>
      </c>
      <c r="B64" s="5">
        <v>20</v>
      </c>
      <c r="C64" s="9" t="str">
        <f>CUR_NAME</f>
        <v>млн руб.</v>
      </c>
      <c r="D64" s="20">
        <f>IF(D$1&lt;$B$62, 0, D58/$B64)</f>
        <v>0</v>
      </c>
      <c r="E64" s="20">
        <f>IF(E$1&lt;$B$62, 0, MIN(E58/$B64, E58-D69))</f>
        <v>0</v>
      </c>
      <c r="F64" s="20">
        <f t="shared" ref="F64:M64" si="30">IF(F$1&lt;$B$62, 0, MIN(F58/$B64, F58-E69))</f>
        <v>0.35</v>
      </c>
      <c r="G64" s="20">
        <f t="shared" si="30"/>
        <v>0.35</v>
      </c>
      <c r="H64" s="20">
        <f t="shared" si="30"/>
        <v>0.35</v>
      </c>
      <c r="I64" s="20">
        <f t="shared" si="30"/>
        <v>0.35</v>
      </c>
      <c r="J64" s="20">
        <f t="shared" si="30"/>
        <v>0.35</v>
      </c>
      <c r="K64" s="20">
        <f t="shared" si="30"/>
        <v>0.35</v>
      </c>
      <c r="L64" s="20">
        <f t="shared" si="30"/>
        <v>0.35</v>
      </c>
      <c r="M64" s="20">
        <f t="shared" si="30"/>
        <v>0.35</v>
      </c>
    </row>
    <row r="65" spans="1:13" x14ac:dyDescent="0.2">
      <c r="A65" s="4" t="s">
        <v>43</v>
      </c>
      <c r="B65" s="5">
        <v>10</v>
      </c>
      <c r="C65" s="9" t="str">
        <f>CUR_NAME</f>
        <v>млн руб.</v>
      </c>
      <c r="D65" s="20">
        <f t="shared" ref="D65:D66" si="31">IF(D$1&lt;$B$62, 0, D59/$B65)</f>
        <v>0</v>
      </c>
      <c r="E65" s="20">
        <f t="shared" ref="E65:M66" si="32">IF(E$1&lt;$B$62, 0, MIN(E59/$B65, E59-D70))</f>
        <v>0</v>
      </c>
      <c r="F65" s="20">
        <f t="shared" si="32"/>
        <v>1.2</v>
      </c>
      <c r="G65" s="20">
        <f t="shared" si="32"/>
        <v>1.2</v>
      </c>
      <c r="H65" s="20">
        <f t="shared" si="32"/>
        <v>1.2</v>
      </c>
      <c r="I65" s="20">
        <f t="shared" si="32"/>
        <v>1.2</v>
      </c>
      <c r="J65" s="20">
        <f t="shared" si="32"/>
        <v>1.2</v>
      </c>
      <c r="K65" s="20">
        <f t="shared" si="32"/>
        <v>1.2</v>
      </c>
      <c r="L65" s="20">
        <f t="shared" si="32"/>
        <v>1.2</v>
      </c>
      <c r="M65" s="20">
        <f t="shared" si="32"/>
        <v>1.2</v>
      </c>
    </row>
    <row r="66" spans="1:13" x14ac:dyDescent="0.2">
      <c r="A66" s="4" t="s">
        <v>44</v>
      </c>
      <c r="B66" s="5">
        <v>5</v>
      </c>
      <c r="C66" s="9" t="str">
        <f>CUR_NAME</f>
        <v>млн руб.</v>
      </c>
      <c r="D66" s="20">
        <f t="shared" si="31"/>
        <v>0</v>
      </c>
      <c r="E66" s="20">
        <f t="shared" si="32"/>
        <v>0</v>
      </c>
      <c r="F66" s="20">
        <f t="shared" si="32"/>
        <v>0.2</v>
      </c>
      <c r="G66" s="20">
        <f t="shared" si="32"/>
        <v>0.2</v>
      </c>
      <c r="H66" s="20">
        <f t="shared" si="32"/>
        <v>0.2</v>
      </c>
      <c r="I66" s="20">
        <f t="shared" si="32"/>
        <v>0.2</v>
      </c>
      <c r="J66" s="20">
        <f t="shared" si="32"/>
        <v>0.19999999999999996</v>
      </c>
      <c r="K66" s="20">
        <f t="shared" si="32"/>
        <v>0</v>
      </c>
      <c r="L66" s="20">
        <f t="shared" si="32"/>
        <v>0</v>
      </c>
      <c r="M66" s="20">
        <f t="shared" si="32"/>
        <v>0</v>
      </c>
    </row>
    <row r="68" spans="1:13" x14ac:dyDescent="0.2">
      <c r="A68" s="4" t="s">
        <v>49</v>
      </c>
    </row>
    <row r="69" spans="1:13" x14ac:dyDescent="0.2">
      <c r="A69" s="4" t="s">
        <v>42</v>
      </c>
      <c r="C69" s="9" t="str">
        <f>CUR_NAME</f>
        <v>млн руб.</v>
      </c>
      <c r="D69" s="20">
        <f>D64</f>
        <v>0</v>
      </c>
      <c r="E69" s="20">
        <f>D69+E64</f>
        <v>0</v>
      </c>
      <c r="F69" s="20">
        <f t="shared" ref="F69:M69" si="33">E69+F64</f>
        <v>0.35</v>
      </c>
      <c r="G69" s="20">
        <f t="shared" si="33"/>
        <v>0.7</v>
      </c>
      <c r="H69" s="20">
        <f t="shared" si="33"/>
        <v>1.0499999999999998</v>
      </c>
      <c r="I69" s="20">
        <f t="shared" si="33"/>
        <v>1.4</v>
      </c>
      <c r="J69" s="20">
        <f t="shared" si="33"/>
        <v>1.75</v>
      </c>
      <c r="K69" s="20">
        <f t="shared" si="33"/>
        <v>2.1</v>
      </c>
      <c r="L69" s="20">
        <f t="shared" si="33"/>
        <v>2.4500000000000002</v>
      </c>
      <c r="M69" s="20">
        <f t="shared" si="33"/>
        <v>2.8000000000000003</v>
      </c>
    </row>
    <row r="70" spans="1:13" x14ac:dyDescent="0.2">
      <c r="A70" s="4" t="s">
        <v>43</v>
      </c>
      <c r="C70" s="9" t="str">
        <f>CUR_NAME</f>
        <v>млн руб.</v>
      </c>
      <c r="D70" s="20">
        <f t="shared" ref="D70:D71" si="34">D65</f>
        <v>0</v>
      </c>
      <c r="E70" s="20">
        <f t="shared" ref="E70:M71" si="35">D70+E65</f>
        <v>0</v>
      </c>
      <c r="F70" s="20">
        <f t="shared" si="35"/>
        <v>1.2</v>
      </c>
      <c r="G70" s="20">
        <f t="shared" si="35"/>
        <v>2.4</v>
      </c>
      <c r="H70" s="20">
        <f t="shared" si="35"/>
        <v>3.5999999999999996</v>
      </c>
      <c r="I70" s="20">
        <f t="shared" si="35"/>
        <v>4.8</v>
      </c>
      <c r="J70" s="20">
        <f t="shared" si="35"/>
        <v>6</v>
      </c>
      <c r="K70" s="20">
        <f t="shared" si="35"/>
        <v>7.2</v>
      </c>
      <c r="L70" s="20">
        <f t="shared" si="35"/>
        <v>8.4</v>
      </c>
      <c r="M70" s="20">
        <f t="shared" si="35"/>
        <v>9.6</v>
      </c>
    </row>
    <row r="71" spans="1:13" x14ac:dyDescent="0.2">
      <c r="A71" s="4" t="s">
        <v>44</v>
      </c>
      <c r="C71" s="9" t="str">
        <f>CUR_NAME</f>
        <v>млн руб.</v>
      </c>
      <c r="D71" s="20">
        <f t="shared" si="34"/>
        <v>0</v>
      </c>
      <c r="E71" s="20">
        <f t="shared" si="35"/>
        <v>0</v>
      </c>
      <c r="F71" s="20">
        <f t="shared" si="35"/>
        <v>0.2</v>
      </c>
      <c r="G71" s="20">
        <f t="shared" si="35"/>
        <v>0.4</v>
      </c>
      <c r="H71" s="20">
        <f t="shared" si="35"/>
        <v>0.60000000000000009</v>
      </c>
      <c r="I71" s="20">
        <f t="shared" si="35"/>
        <v>0.8</v>
      </c>
      <c r="J71" s="20">
        <f t="shared" si="35"/>
        <v>1</v>
      </c>
      <c r="K71" s="20">
        <f t="shared" si="35"/>
        <v>1</v>
      </c>
      <c r="L71" s="20">
        <f t="shared" si="35"/>
        <v>1</v>
      </c>
      <c r="M71" s="20">
        <f t="shared" si="35"/>
        <v>1</v>
      </c>
    </row>
    <row r="73" spans="1:13" x14ac:dyDescent="0.2">
      <c r="A73" s="4" t="s">
        <v>48</v>
      </c>
    </row>
    <row r="74" spans="1:13" x14ac:dyDescent="0.2">
      <c r="A74" s="4" t="s">
        <v>42</v>
      </c>
      <c r="C74" s="9" t="str">
        <f>CUR_NAME</f>
        <v>млн руб.</v>
      </c>
      <c r="D74" s="20">
        <f>D58-D69</f>
        <v>2.1</v>
      </c>
      <c r="E74" s="20">
        <f t="shared" ref="E74:M74" si="36">E58-E69</f>
        <v>7</v>
      </c>
      <c r="F74" s="20">
        <f t="shared" si="36"/>
        <v>6.65</v>
      </c>
      <c r="G74" s="20">
        <f t="shared" si="36"/>
        <v>6.3</v>
      </c>
      <c r="H74" s="20">
        <f t="shared" si="36"/>
        <v>5.95</v>
      </c>
      <c r="I74" s="20">
        <f t="shared" si="36"/>
        <v>5.6</v>
      </c>
      <c r="J74" s="20">
        <f t="shared" si="36"/>
        <v>5.25</v>
      </c>
      <c r="K74" s="20">
        <f t="shared" si="36"/>
        <v>4.9000000000000004</v>
      </c>
      <c r="L74" s="20">
        <f t="shared" si="36"/>
        <v>4.55</v>
      </c>
      <c r="M74" s="20">
        <f t="shared" si="36"/>
        <v>4.1999999999999993</v>
      </c>
    </row>
    <row r="75" spans="1:13" x14ac:dyDescent="0.2">
      <c r="A75" s="4" t="s">
        <v>43</v>
      </c>
      <c r="C75" s="9" t="str">
        <f>CUR_NAME</f>
        <v>млн руб.</v>
      </c>
      <c r="D75" s="20">
        <f t="shared" ref="D75:M76" si="37">D59-D70</f>
        <v>3.5999999999999996</v>
      </c>
      <c r="E75" s="20">
        <f t="shared" si="37"/>
        <v>12</v>
      </c>
      <c r="F75" s="20">
        <f t="shared" si="37"/>
        <v>10.8</v>
      </c>
      <c r="G75" s="20">
        <f t="shared" si="37"/>
        <v>9.6</v>
      </c>
      <c r="H75" s="20">
        <f t="shared" si="37"/>
        <v>8.4</v>
      </c>
      <c r="I75" s="20">
        <f t="shared" si="37"/>
        <v>7.2</v>
      </c>
      <c r="J75" s="20">
        <f t="shared" si="37"/>
        <v>6</v>
      </c>
      <c r="K75" s="20">
        <f t="shared" si="37"/>
        <v>4.8</v>
      </c>
      <c r="L75" s="20">
        <f t="shared" si="37"/>
        <v>3.5999999999999996</v>
      </c>
      <c r="M75" s="20">
        <f t="shared" si="37"/>
        <v>2.4000000000000004</v>
      </c>
    </row>
    <row r="76" spans="1:13" x14ac:dyDescent="0.2">
      <c r="A76" s="4" t="s">
        <v>44</v>
      </c>
      <c r="C76" s="9" t="str">
        <f>CUR_NAME</f>
        <v>млн руб.</v>
      </c>
      <c r="D76" s="20">
        <f t="shared" si="37"/>
        <v>0.30000000000000004</v>
      </c>
      <c r="E76" s="20">
        <f t="shared" si="37"/>
        <v>1</v>
      </c>
      <c r="F76" s="20">
        <f t="shared" si="37"/>
        <v>0.8</v>
      </c>
      <c r="G76" s="20">
        <f t="shared" si="37"/>
        <v>0.6</v>
      </c>
      <c r="H76" s="20">
        <f t="shared" si="37"/>
        <v>0.39999999999999991</v>
      </c>
      <c r="I76" s="20">
        <f t="shared" si="37"/>
        <v>0.19999999999999996</v>
      </c>
      <c r="J76" s="20">
        <f t="shared" si="37"/>
        <v>0</v>
      </c>
      <c r="K76" s="20">
        <f t="shared" si="37"/>
        <v>0</v>
      </c>
      <c r="L76" s="20">
        <f t="shared" si="37"/>
        <v>0</v>
      </c>
      <c r="M76" s="20">
        <f t="shared" si="37"/>
        <v>0</v>
      </c>
    </row>
    <row r="78" spans="1:13" s="16" customFormat="1" ht="20.100000000000001" customHeight="1" thickBot="1" x14ac:dyDescent="0.3">
      <c r="A78" s="14" t="s">
        <v>50</v>
      </c>
      <c r="B78" s="14"/>
      <c r="C78" s="14"/>
      <c r="D78" s="15" t="str">
        <f>D$2</f>
        <v>Год 1</v>
      </c>
      <c r="E78" s="15" t="str">
        <f t="shared" ref="E78:M78" si="38">E$2</f>
        <v>Год 2</v>
      </c>
      <c r="F78" s="15" t="str">
        <f t="shared" si="38"/>
        <v>Год 3</v>
      </c>
      <c r="G78" s="15" t="str">
        <f t="shared" si="38"/>
        <v>Год 4</v>
      </c>
      <c r="H78" s="15" t="str">
        <f t="shared" si="38"/>
        <v>Год 5</v>
      </c>
      <c r="I78" s="15" t="str">
        <f t="shared" si="38"/>
        <v>Год 6</v>
      </c>
      <c r="J78" s="15" t="str">
        <f t="shared" si="38"/>
        <v>Год 7</v>
      </c>
      <c r="K78" s="15" t="str">
        <f t="shared" si="38"/>
        <v>Год 8</v>
      </c>
      <c r="L78" s="15" t="str">
        <f t="shared" si="38"/>
        <v>Год 9</v>
      </c>
      <c r="M78" s="15" t="str">
        <f t="shared" si="38"/>
        <v>Год 10</v>
      </c>
    </row>
    <row r="80" spans="1:13" x14ac:dyDescent="0.2">
      <c r="A80" s="4" t="s">
        <v>51</v>
      </c>
      <c r="B80" s="23">
        <v>0.3</v>
      </c>
      <c r="C80" s="9" t="s">
        <v>11</v>
      </c>
    </row>
    <row r="81" spans="1:13" x14ac:dyDescent="0.2">
      <c r="A81" s="4" t="s">
        <v>52</v>
      </c>
      <c r="B81" s="26">
        <f>1-B80</f>
        <v>0.7</v>
      </c>
      <c r="C81" s="9" t="s">
        <v>11</v>
      </c>
    </row>
    <row r="83" spans="1:13" x14ac:dyDescent="0.2">
      <c r="A83" s="4" t="s">
        <v>84</v>
      </c>
      <c r="C83" s="9" t="str">
        <f>CUR_NAME</f>
        <v>млн руб.</v>
      </c>
      <c r="D83" s="7">
        <f>D51*$B$80</f>
        <v>1.7999999999999998</v>
      </c>
      <c r="E83" s="7">
        <f t="shared" ref="E83:M83" si="39">E51*$B$80</f>
        <v>4.2</v>
      </c>
      <c r="F83" s="7">
        <f t="shared" si="39"/>
        <v>0</v>
      </c>
      <c r="G83" s="7">
        <f t="shared" si="39"/>
        <v>0</v>
      </c>
      <c r="H83" s="7">
        <f t="shared" si="39"/>
        <v>0</v>
      </c>
      <c r="I83" s="7">
        <f t="shared" si="39"/>
        <v>0</v>
      </c>
      <c r="J83" s="7">
        <f t="shared" si="39"/>
        <v>0</v>
      </c>
      <c r="K83" s="7">
        <f t="shared" si="39"/>
        <v>0</v>
      </c>
      <c r="L83" s="7">
        <f t="shared" si="39"/>
        <v>0</v>
      </c>
      <c r="M83" s="7">
        <f t="shared" si="39"/>
        <v>0</v>
      </c>
    </row>
    <row r="84" spans="1:13" x14ac:dyDescent="0.2">
      <c r="A84" s="4" t="s">
        <v>53</v>
      </c>
      <c r="C84" s="9" t="str">
        <f>CUR_NAME</f>
        <v>млн руб.</v>
      </c>
      <c r="D84" s="7">
        <f>D83</f>
        <v>1.7999999999999998</v>
      </c>
      <c r="E84" s="7">
        <f>D84+E83</f>
        <v>6</v>
      </c>
      <c r="F84" s="7">
        <f t="shared" ref="F84:M84" si="40">E84+F83</f>
        <v>6</v>
      </c>
      <c r="G84" s="7">
        <f t="shared" si="40"/>
        <v>6</v>
      </c>
      <c r="H84" s="7">
        <f t="shared" si="40"/>
        <v>6</v>
      </c>
      <c r="I84" s="7">
        <f t="shared" si="40"/>
        <v>6</v>
      </c>
      <c r="J84" s="7">
        <f t="shared" si="40"/>
        <v>6</v>
      </c>
      <c r="K84" s="7">
        <f t="shared" si="40"/>
        <v>6</v>
      </c>
      <c r="L84" s="7">
        <f t="shared" si="40"/>
        <v>6</v>
      </c>
      <c r="M84" s="7">
        <f t="shared" si="40"/>
        <v>6</v>
      </c>
    </row>
    <row r="85" spans="1:13" x14ac:dyDescent="0.2">
      <c r="A85" s="4" t="s">
        <v>54</v>
      </c>
      <c r="C85" s="9" t="s">
        <v>11</v>
      </c>
      <c r="D85" s="24">
        <v>0</v>
      </c>
      <c r="E85" s="24">
        <v>0.2</v>
      </c>
      <c r="F85" s="24">
        <f>E85</f>
        <v>0.2</v>
      </c>
      <c r="G85" s="24">
        <f t="shared" ref="G85:M85" si="41">F85</f>
        <v>0.2</v>
      </c>
      <c r="H85" s="24">
        <f t="shared" si="41"/>
        <v>0.2</v>
      </c>
      <c r="I85" s="24">
        <f t="shared" si="41"/>
        <v>0.2</v>
      </c>
      <c r="J85" s="24">
        <f t="shared" si="41"/>
        <v>0.2</v>
      </c>
      <c r="K85" s="24">
        <f t="shared" si="41"/>
        <v>0.2</v>
      </c>
      <c r="L85" s="24">
        <f t="shared" si="41"/>
        <v>0.2</v>
      </c>
      <c r="M85" s="24">
        <f t="shared" si="41"/>
        <v>0.2</v>
      </c>
    </row>
    <row r="86" spans="1:13" x14ac:dyDescent="0.2">
      <c r="A86" s="4" t="s">
        <v>55</v>
      </c>
      <c r="C86" s="9" t="str">
        <f>CUR_NAME</f>
        <v>млн руб.</v>
      </c>
      <c r="D86" s="20">
        <f ca="1">MAX(D123*D85,0)</f>
        <v>0</v>
      </c>
      <c r="E86" s="20">
        <f t="shared" ref="E86:M86" ca="1" si="42">MAX(E123*E85,0)</f>
        <v>3.3381202875580223</v>
      </c>
      <c r="F86" s="20">
        <f t="shared" ca="1" si="42"/>
        <v>3.1943359675580232</v>
      </c>
      <c r="G86" s="20">
        <f t="shared" ca="1" si="42"/>
        <v>3.3477827072000026</v>
      </c>
      <c r="H86" s="20">
        <f t="shared" ca="1" si="42"/>
        <v>3.4950130554880006</v>
      </c>
      <c r="I86" s="20">
        <f t="shared" ca="1" si="42"/>
        <v>3.6480833377075221</v>
      </c>
      <c r="J86" s="20">
        <f t="shared" ca="1" si="42"/>
        <v>3.8072271512158231</v>
      </c>
      <c r="K86" s="20">
        <f t="shared" ca="1" si="42"/>
        <v>4.0046874372644563</v>
      </c>
      <c r="L86" s="20">
        <f t="shared" ca="1" si="42"/>
        <v>4.1767168547550346</v>
      </c>
      <c r="M86" s="20">
        <f t="shared" ca="1" si="42"/>
        <v>4.355578168945236</v>
      </c>
    </row>
    <row r="88" spans="1:13" x14ac:dyDescent="0.2">
      <c r="A88" s="4" t="s">
        <v>57</v>
      </c>
      <c r="C88" s="9" t="str">
        <f>CUR_NAME</f>
        <v>млн руб.</v>
      </c>
      <c r="D88" s="20">
        <f ca="1">IF(D1&lt;$B$62, MAX(-D145+D138,0), 0)</f>
        <v>0.41555479452054733</v>
      </c>
      <c r="E88" s="20">
        <f t="shared" ref="E88:M88" ca="1" si="43">IF(E1&lt;$B$62, MAX(-E145+E138,0), 0)</f>
        <v>1.0634092607268144</v>
      </c>
      <c r="F88" s="20">
        <f t="shared" si="43"/>
        <v>0</v>
      </c>
      <c r="G88" s="20">
        <f t="shared" si="43"/>
        <v>0</v>
      </c>
      <c r="H88" s="20">
        <f t="shared" si="43"/>
        <v>0</v>
      </c>
      <c r="I88" s="20">
        <f t="shared" si="43"/>
        <v>0</v>
      </c>
      <c r="J88" s="20">
        <f t="shared" si="43"/>
        <v>0</v>
      </c>
      <c r="K88" s="20">
        <f t="shared" si="43"/>
        <v>0</v>
      </c>
      <c r="L88" s="20">
        <f t="shared" si="43"/>
        <v>0</v>
      </c>
      <c r="M88" s="20">
        <f t="shared" si="43"/>
        <v>0</v>
      </c>
    </row>
    <row r="89" spans="1:13" x14ac:dyDescent="0.2">
      <c r="A89" s="4" t="s">
        <v>58</v>
      </c>
      <c r="C89" s="9" t="str">
        <f>CUR_NAME</f>
        <v>млн руб.</v>
      </c>
      <c r="D89" s="20">
        <f>IF(D1&gt;=$B$62, MIN(MAX(D145-D139,0), D90, (D130-D120+D135)/$B$94+D120), 0)</f>
        <v>0</v>
      </c>
      <c r="E89" s="20">
        <f t="shared" ref="E89:M89" si="44">IF(E1&gt;=$B$62, MIN(MAX(E145-E139,0), E90, (E130-E120+E135)/$B$94+E120), 0)</f>
        <v>0</v>
      </c>
      <c r="F89" s="20">
        <f t="shared" ca="1" si="44"/>
        <v>1.4789640552473617</v>
      </c>
      <c r="G89" s="20">
        <f t="shared" ca="1" si="44"/>
        <v>0</v>
      </c>
      <c r="H89" s="20">
        <f t="shared" ca="1" si="44"/>
        <v>0</v>
      </c>
      <c r="I89" s="20">
        <f t="shared" ca="1" si="44"/>
        <v>0</v>
      </c>
      <c r="J89" s="20">
        <f t="shared" ca="1" si="44"/>
        <v>0</v>
      </c>
      <c r="K89" s="20">
        <f t="shared" ca="1" si="44"/>
        <v>0</v>
      </c>
      <c r="L89" s="20">
        <f t="shared" ca="1" si="44"/>
        <v>0</v>
      </c>
      <c r="M89" s="20">
        <f t="shared" ca="1" si="44"/>
        <v>0</v>
      </c>
    </row>
    <row r="90" spans="1:13" x14ac:dyDescent="0.2">
      <c r="A90" s="4" t="s">
        <v>59</v>
      </c>
      <c r="C90" s="9" t="str">
        <f>CUR_NAME</f>
        <v>млн руб.</v>
      </c>
      <c r="D90" s="20">
        <f ca="1">D88</f>
        <v>0.41555479452054733</v>
      </c>
      <c r="E90" s="20">
        <f ca="1">D91+E88</f>
        <v>1.4789640552473617</v>
      </c>
      <c r="F90" s="20">
        <f t="shared" ref="F90:M90" ca="1" si="45">E91+F88</f>
        <v>1.4789640552473617</v>
      </c>
      <c r="G90" s="20">
        <f t="shared" ca="1" si="45"/>
        <v>0</v>
      </c>
      <c r="H90" s="20">
        <f t="shared" ca="1" si="45"/>
        <v>0</v>
      </c>
      <c r="I90" s="20">
        <f t="shared" ca="1" si="45"/>
        <v>0</v>
      </c>
      <c r="J90" s="20">
        <f t="shared" ca="1" si="45"/>
        <v>0</v>
      </c>
      <c r="K90" s="20">
        <f t="shared" ca="1" si="45"/>
        <v>0</v>
      </c>
      <c r="L90" s="20">
        <f t="shared" ca="1" si="45"/>
        <v>0</v>
      </c>
      <c r="M90" s="20">
        <f t="shared" ca="1" si="45"/>
        <v>0</v>
      </c>
    </row>
    <row r="91" spans="1:13" x14ac:dyDescent="0.2">
      <c r="A91" s="4" t="s">
        <v>60</v>
      </c>
      <c r="C91" s="9" t="str">
        <f>CUR_NAME</f>
        <v>млн руб.</v>
      </c>
      <c r="D91" s="20">
        <f ca="1">D90-D89</f>
        <v>0.41555479452054733</v>
      </c>
      <c r="E91" s="20">
        <f t="shared" ref="E91:M91" ca="1" si="46">E90-E89</f>
        <v>1.4789640552473617</v>
      </c>
      <c r="F91" s="20">
        <f t="shared" ca="1" si="46"/>
        <v>0</v>
      </c>
      <c r="G91" s="20">
        <f t="shared" ca="1" si="46"/>
        <v>0</v>
      </c>
      <c r="H91" s="20">
        <f t="shared" ca="1" si="46"/>
        <v>0</v>
      </c>
      <c r="I91" s="20">
        <f t="shared" ca="1" si="46"/>
        <v>0</v>
      </c>
      <c r="J91" s="20">
        <f t="shared" ca="1" si="46"/>
        <v>0</v>
      </c>
      <c r="K91" s="20">
        <f t="shared" ca="1" si="46"/>
        <v>0</v>
      </c>
      <c r="L91" s="20">
        <f t="shared" ca="1" si="46"/>
        <v>0</v>
      </c>
      <c r="M91" s="20">
        <f t="shared" ca="1" si="46"/>
        <v>0</v>
      </c>
    </row>
    <row r="92" spans="1:13" x14ac:dyDescent="0.2">
      <c r="A92" s="4" t="s">
        <v>61</v>
      </c>
      <c r="B92" s="10">
        <v>0.05</v>
      </c>
      <c r="C92" s="9" t="s">
        <v>11</v>
      </c>
      <c r="D92" s="27">
        <f>$B$92</f>
        <v>0.05</v>
      </c>
      <c r="E92" s="27">
        <f t="shared" ref="E92:M92" si="47">$B$92</f>
        <v>0.05</v>
      </c>
      <c r="F92" s="27">
        <f t="shared" si="47"/>
        <v>0.05</v>
      </c>
      <c r="G92" s="27">
        <f t="shared" si="47"/>
        <v>0.05</v>
      </c>
      <c r="H92" s="27">
        <f t="shared" si="47"/>
        <v>0.05</v>
      </c>
      <c r="I92" s="27">
        <f t="shared" si="47"/>
        <v>0.05</v>
      </c>
      <c r="J92" s="27">
        <f t="shared" si="47"/>
        <v>0.05</v>
      </c>
      <c r="K92" s="27">
        <f t="shared" si="47"/>
        <v>0.05</v>
      </c>
      <c r="L92" s="27">
        <f t="shared" si="47"/>
        <v>0.05</v>
      </c>
      <c r="M92" s="27">
        <f t="shared" si="47"/>
        <v>0.05</v>
      </c>
    </row>
    <row r="93" spans="1:13" x14ac:dyDescent="0.2">
      <c r="A93" s="4" t="s">
        <v>62</v>
      </c>
      <c r="C93" s="9" t="str">
        <f>CUR_NAME</f>
        <v>млн руб.</v>
      </c>
      <c r="D93" s="20">
        <f ca="1">D90*D92</f>
        <v>2.0777739726027367E-2</v>
      </c>
      <c r="E93" s="20">
        <f t="shared" ref="E93:M93" ca="1" si="48">E90*E92</f>
        <v>7.394820276236809E-2</v>
      </c>
      <c r="F93" s="20">
        <f t="shared" ca="1" si="48"/>
        <v>7.394820276236809E-2</v>
      </c>
      <c r="G93" s="20">
        <f t="shared" ca="1" si="48"/>
        <v>0</v>
      </c>
      <c r="H93" s="20">
        <f t="shared" ca="1" si="48"/>
        <v>0</v>
      </c>
      <c r="I93" s="20">
        <f t="shared" ca="1" si="48"/>
        <v>0</v>
      </c>
      <c r="J93" s="20">
        <f t="shared" ca="1" si="48"/>
        <v>0</v>
      </c>
      <c r="K93" s="20">
        <f t="shared" ca="1" si="48"/>
        <v>0</v>
      </c>
      <c r="L93" s="20">
        <f t="shared" ca="1" si="48"/>
        <v>0</v>
      </c>
      <c r="M93" s="20">
        <f t="shared" ca="1" si="48"/>
        <v>0</v>
      </c>
    </row>
    <row r="94" spans="1:13" x14ac:dyDescent="0.2">
      <c r="A94" s="4" t="s">
        <v>63</v>
      </c>
      <c r="B94" s="5">
        <v>1.2</v>
      </c>
      <c r="C94" s="9" t="s">
        <v>64</v>
      </c>
      <c r="D94" s="12" t="str">
        <f>IF(D1&gt;=$B$62, IFERROR((D130-D120+D135)/(-D120-D139), "-"), "-")</f>
        <v>-</v>
      </c>
      <c r="E94" s="12" t="str">
        <f t="shared" ref="E94:M94" si="49">IF(E1&gt;=$B$62, IFERROR((E130-E120+E135)/(-E120-E139), "-"), "-")</f>
        <v>-</v>
      </c>
      <c r="F94" s="12">
        <f t="shared" ca="1" si="49"/>
        <v>11.230533747190798</v>
      </c>
      <c r="G94" s="12" t="str">
        <f t="shared" ca="1" si="49"/>
        <v>-</v>
      </c>
      <c r="H94" s="12" t="str">
        <f t="shared" ca="1" si="49"/>
        <v>-</v>
      </c>
      <c r="I94" s="12" t="str">
        <f t="shared" ca="1" si="49"/>
        <v>-</v>
      </c>
      <c r="J94" s="12" t="str">
        <f t="shared" ca="1" si="49"/>
        <v>-</v>
      </c>
      <c r="K94" s="12" t="str">
        <f t="shared" ca="1" si="49"/>
        <v>-</v>
      </c>
      <c r="L94" s="12" t="str">
        <f t="shared" ca="1" si="49"/>
        <v>-</v>
      </c>
      <c r="M94" s="12" t="str">
        <f t="shared" ca="1" si="49"/>
        <v>-</v>
      </c>
    </row>
    <row r="96" spans="1:13" s="16" customFormat="1" ht="20.100000000000001" customHeight="1" thickBot="1" x14ac:dyDescent="0.3">
      <c r="A96" s="14" t="s">
        <v>86</v>
      </c>
      <c r="B96" s="14"/>
      <c r="C96" s="14"/>
      <c r="D96" s="15" t="str">
        <f>D$2</f>
        <v>Год 1</v>
      </c>
      <c r="E96" s="15" t="str">
        <f t="shared" ref="E96:M109" si="50">E$2</f>
        <v>Год 2</v>
      </c>
      <c r="F96" s="15" t="str">
        <f t="shared" si="50"/>
        <v>Год 3</v>
      </c>
      <c r="G96" s="15" t="str">
        <f t="shared" si="50"/>
        <v>Год 4</v>
      </c>
      <c r="H96" s="15" t="str">
        <f t="shared" si="50"/>
        <v>Год 5</v>
      </c>
      <c r="I96" s="15" t="str">
        <f t="shared" si="50"/>
        <v>Год 6</v>
      </c>
      <c r="J96" s="15" t="str">
        <f t="shared" si="50"/>
        <v>Год 7</v>
      </c>
      <c r="K96" s="15" t="str">
        <f t="shared" si="50"/>
        <v>Год 8</v>
      </c>
      <c r="L96" s="15" t="str">
        <f t="shared" si="50"/>
        <v>Год 9</v>
      </c>
      <c r="M96" s="15" t="str">
        <f t="shared" si="50"/>
        <v>Год 10</v>
      </c>
    </row>
    <row r="98" spans="1:13" x14ac:dyDescent="0.2">
      <c r="A98" s="4" t="s">
        <v>72</v>
      </c>
      <c r="B98" s="29">
        <v>0.2</v>
      </c>
      <c r="C98" s="9" t="str">
        <f>CUR_NAME</f>
        <v>млн руб.</v>
      </c>
      <c r="D98" s="20">
        <f ca="1">MAX(D121*$B$98,0)</f>
        <v>2.0146044520547952</v>
      </c>
      <c r="E98" s="20">
        <f t="shared" ref="E98:M98" ca="1" si="51">MAX(E121*$B$98,0)</f>
        <v>4.1726503594475277</v>
      </c>
      <c r="F98" s="20">
        <f t="shared" ca="1" si="51"/>
        <v>3.9929199594475286</v>
      </c>
      <c r="G98" s="20">
        <f t="shared" ca="1" si="51"/>
        <v>4.1847283840000031</v>
      </c>
      <c r="H98" s="20">
        <f t="shared" ca="1" si="51"/>
        <v>4.3687663193600015</v>
      </c>
      <c r="I98" s="20">
        <f t="shared" ca="1" si="51"/>
        <v>4.5601041721344027</v>
      </c>
      <c r="J98" s="20">
        <f t="shared" ca="1" si="51"/>
        <v>4.7590339390197789</v>
      </c>
      <c r="K98" s="20">
        <f t="shared" ca="1" si="51"/>
        <v>5.0058592965805708</v>
      </c>
      <c r="L98" s="20">
        <f t="shared" ca="1" si="51"/>
        <v>5.2208960684437926</v>
      </c>
      <c r="M98" s="20">
        <f t="shared" ca="1" si="51"/>
        <v>5.4444727111815459</v>
      </c>
    </row>
    <row r="99" spans="1:13" x14ac:dyDescent="0.2">
      <c r="A99" s="4" t="s">
        <v>67</v>
      </c>
      <c r="B99" s="29">
        <v>2.1999999999999999E-2</v>
      </c>
      <c r="C99" s="9" t="str">
        <f>CUR_NAME</f>
        <v>млн руб.</v>
      </c>
      <c r="D99" s="20">
        <f>D74*$B$99</f>
        <v>4.6199999999999998E-2</v>
      </c>
      <c r="E99" s="20">
        <f t="shared" ref="E99:M99" si="52">E74*$B$99</f>
        <v>0.154</v>
      </c>
      <c r="F99" s="20">
        <f t="shared" si="52"/>
        <v>0.14629999999999999</v>
      </c>
      <c r="G99" s="20">
        <f t="shared" si="52"/>
        <v>0.1386</v>
      </c>
      <c r="H99" s="20">
        <f t="shared" si="52"/>
        <v>0.13089999999999999</v>
      </c>
      <c r="I99" s="20">
        <f t="shared" si="52"/>
        <v>0.12319999999999999</v>
      </c>
      <c r="J99" s="20">
        <f t="shared" si="52"/>
        <v>0.11549999999999999</v>
      </c>
      <c r="K99" s="20">
        <f t="shared" si="52"/>
        <v>0.10780000000000001</v>
      </c>
      <c r="L99" s="20">
        <f t="shared" si="52"/>
        <v>0.10009999999999999</v>
      </c>
      <c r="M99" s="20">
        <f t="shared" si="52"/>
        <v>9.2399999999999982E-2</v>
      </c>
    </row>
    <row r="100" spans="1:13" x14ac:dyDescent="0.2">
      <c r="A100" s="4" t="s">
        <v>98</v>
      </c>
      <c r="B100" s="29">
        <v>0.3</v>
      </c>
      <c r="C100" s="9" t="str">
        <f>CUR_NAME</f>
        <v>млн руб.</v>
      </c>
      <c r="D100" s="20">
        <f>D34*$B$100</f>
        <v>4.68</v>
      </c>
      <c r="E100" s="20">
        <f t="shared" ref="E100:M100" si="53">E34*$B$100</f>
        <v>9.7343999999999991</v>
      </c>
      <c r="F100" s="20">
        <f t="shared" si="53"/>
        <v>10.123775999999999</v>
      </c>
      <c r="G100" s="20">
        <f t="shared" si="53"/>
        <v>10.528727040000001</v>
      </c>
      <c r="H100" s="20">
        <f t="shared" si="53"/>
        <v>10.949876121600003</v>
      </c>
      <c r="I100" s="20">
        <f t="shared" si="53"/>
        <v>11.387871166464002</v>
      </c>
      <c r="J100" s="20">
        <f t="shared" si="53"/>
        <v>11.843386013122565</v>
      </c>
      <c r="K100" s="20">
        <f t="shared" si="53"/>
        <v>12.317121453647466</v>
      </c>
      <c r="L100" s="20">
        <f t="shared" si="53"/>
        <v>12.809806311793366</v>
      </c>
      <c r="M100" s="20">
        <f t="shared" si="53"/>
        <v>13.322198564265102</v>
      </c>
    </row>
    <row r="101" spans="1:13" x14ac:dyDescent="0.2">
      <c r="A101" s="4" t="s">
        <v>99</v>
      </c>
      <c r="B101" s="29">
        <v>0.13</v>
      </c>
      <c r="C101" s="9" t="str">
        <f>CUR_NAME</f>
        <v>млн руб.</v>
      </c>
      <c r="D101" s="20">
        <f>D34*$B$101</f>
        <v>2.028</v>
      </c>
      <c r="E101" s="20">
        <f t="shared" ref="E101:M101" si="54">E34*$B$101</f>
        <v>4.2182399999999998</v>
      </c>
      <c r="F101" s="20">
        <f t="shared" si="54"/>
        <v>4.3869695999999996</v>
      </c>
      <c r="G101" s="20">
        <f t="shared" si="54"/>
        <v>4.5624483840000005</v>
      </c>
      <c r="H101" s="20">
        <f t="shared" si="54"/>
        <v>4.7449463193600012</v>
      </c>
      <c r="I101" s="20">
        <f t="shared" si="54"/>
        <v>4.9347441721344012</v>
      </c>
      <c r="J101" s="20">
        <f t="shared" si="54"/>
        <v>5.132133939019778</v>
      </c>
      <c r="K101" s="20">
        <f t="shared" si="54"/>
        <v>5.3374192965805696</v>
      </c>
      <c r="L101" s="20">
        <f t="shared" si="54"/>
        <v>5.5509160684437928</v>
      </c>
      <c r="M101" s="20">
        <f t="shared" si="54"/>
        <v>5.7729527111815448</v>
      </c>
    </row>
    <row r="102" spans="1:13" x14ac:dyDescent="0.2">
      <c r="D102" s="20"/>
      <c r="E102" s="20"/>
      <c r="F102" s="20"/>
      <c r="G102" s="20"/>
      <c r="H102" s="20"/>
      <c r="I102" s="20"/>
      <c r="J102" s="20"/>
      <c r="K102" s="20"/>
      <c r="L102" s="20"/>
      <c r="M102" s="20"/>
    </row>
    <row r="103" spans="1:13" x14ac:dyDescent="0.2">
      <c r="A103" s="4" t="s">
        <v>102</v>
      </c>
      <c r="B103" s="30">
        <v>0.2</v>
      </c>
      <c r="D103" s="20"/>
      <c r="E103" s="20"/>
      <c r="F103" s="20"/>
      <c r="G103" s="20"/>
      <c r="H103" s="20"/>
      <c r="I103" s="20"/>
      <c r="J103" s="20"/>
      <c r="K103" s="20"/>
      <c r="L103" s="20"/>
      <c r="M103" s="20"/>
    </row>
    <row r="104" spans="1:13" x14ac:dyDescent="0.2">
      <c r="A104" s="4" t="s">
        <v>100</v>
      </c>
      <c r="C104" s="9" t="str">
        <f>CUR_NAME</f>
        <v>млн руб.</v>
      </c>
      <c r="D104" s="20">
        <f>D10*$B$103</f>
        <v>10.4</v>
      </c>
      <c r="E104" s="20">
        <f t="shared" ref="E104:M104" si="55">E10*$B$103</f>
        <v>21.632000000000005</v>
      </c>
      <c r="F104" s="20">
        <f t="shared" si="55"/>
        <v>22.497280000000003</v>
      </c>
      <c r="G104" s="20">
        <f t="shared" si="55"/>
        <v>23.397171200000006</v>
      </c>
      <c r="H104" s="20">
        <f t="shared" si="55"/>
        <v>24.333058048000009</v>
      </c>
      <c r="I104" s="20">
        <f t="shared" si="55"/>
        <v>25.306380369920007</v>
      </c>
      <c r="J104" s="20">
        <f t="shared" si="55"/>
        <v>26.318635584716812</v>
      </c>
      <c r="K104" s="20">
        <f t="shared" si="55"/>
        <v>27.371381008105484</v>
      </c>
      <c r="L104" s="20">
        <f t="shared" si="55"/>
        <v>28.466236248429706</v>
      </c>
      <c r="M104" s="20">
        <f t="shared" si="55"/>
        <v>29.604885698366896</v>
      </c>
    </row>
    <row r="105" spans="1:13" x14ac:dyDescent="0.2">
      <c r="A105" s="4" t="s">
        <v>101</v>
      </c>
      <c r="C105" s="9" t="str">
        <f>CUR_NAME</f>
        <v>млн руб.</v>
      </c>
      <c r="D105" s="20">
        <f>-$B$103*(SUM(D26:D29)-D34)</f>
        <v>-5.2519999999999998</v>
      </c>
      <c r="E105" s="20">
        <f t="shared" ref="E105:M105" si="56">-$B$103*(SUM(E26:E29)-E34)</f>
        <v>-10.924160000000002</v>
      </c>
      <c r="F105" s="20">
        <f t="shared" si="56"/>
        <v>-11.361126399999998</v>
      </c>
      <c r="G105" s="20">
        <f t="shared" si="56"/>
        <v>-11.815571456000001</v>
      </c>
      <c r="H105" s="20">
        <f t="shared" si="56"/>
        <v>-12.288194314240002</v>
      </c>
      <c r="I105" s="20">
        <f t="shared" si="56"/>
        <v>-12.779722086809604</v>
      </c>
      <c r="J105" s="20">
        <f t="shared" si="56"/>
        <v>-13.290910970281988</v>
      </c>
      <c r="K105" s="20">
        <f t="shared" si="56"/>
        <v>-13.822547409093268</v>
      </c>
      <c r="L105" s="20">
        <f t="shared" si="56"/>
        <v>-14.375449305457</v>
      </c>
      <c r="M105" s="20">
        <f t="shared" si="56"/>
        <v>-14.95046727767528</v>
      </c>
    </row>
    <row r="106" spans="1:13" x14ac:dyDescent="0.2">
      <c r="A106" s="4" t="s">
        <v>103</v>
      </c>
      <c r="C106" s="9" t="str">
        <f>CUR_NAME</f>
        <v>млн руб.</v>
      </c>
      <c r="D106" s="20">
        <f>-$B$103*SUM(D53:D55)</f>
        <v>-1.2</v>
      </c>
      <c r="E106" s="20">
        <f t="shared" ref="E106:M106" si="57">-$B$103*SUM(E53:E55)</f>
        <v>-2.8000000000000003</v>
      </c>
      <c r="F106" s="20">
        <f t="shared" si="57"/>
        <v>0</v>
      </c>
      <c r="G106" s="20">
        <f t="shared" si="57"/>
        <v>0</v>
      </c>
      <c r="H106" s="20">
        <f t="shared" si="57"/>
        <v>0</v>
      </c>
      <c r="I106" s="20">
        <f t="shared" si="57"/>
        <v>0</v>
      </c>
      <c r="J106" s="20">
        <f t="shared" si="57"/>
        <v>0</v>
      </c>
      <c r="K106" s="20">
        <f t="shared" si="57"/>
        <v>0</v>
      </c>
      <c r="L106" s="20">
        <f t="shared" si="57"/>
        <v>0</v>
      </c>
      <c r="M106" s="20">
        <f t="shared" si="57"/>
        <v>0</v>
      </c>
    </row>
    <row r="107" spans="1:13" x14ac:dyDescent="0.2">
      <c r="A107" s="4" t="s">
        <v>104</v>
      </c>
      <c r="C107" s="9" t="str">
        <f>CUR_NAME</f>
        <v>млн руб.</v>
      </c>
      <c r="D107" s="20">
        <f>SUM(D104:D106)</f>
        <v>3.9480000000000004</v>
      </c>
      <c r="E107" s="20">
        <f t="shared" ref="E107:M107" si="58">SUM(E104:E106)</f>
        <v>7.907840000000002</v>
      </c>
      <c r="F107" s="20">
        <f t="shared" si="58"/>
        <v>11.136153600000005</v>
      </c>
      <c r="G107" s="20">
        <f t="shared" si="58"/>
        <v>11.581599744000005</v>
      </c>
      <c r="H107" s="20">
        <f t="shared" si="58"/>
        <v>12.044863733760007</v>
      </c>
      <c r="I107" s="20">
        <f t="shared" si="58"/>
        <v>12.526658283110402</v>
      </c>
      <c r="J107" s="20">
        <f t="shared" si="58"/>
        <v>13.027724614434824</v>
      </c>
      <c r="K107" s="20">
        <f t="shared" si="58"/>
        <v>13.548833599012216</v>
      </c>
      <c r="L107" s="20">
        <f t="shared" si="58"/>
        <v>14.090786942972706</v>
      </c>
      <c r="M107" s="20">
        <f t="shared" si="58"/>
        <v>14.654418420691616</v>
      </c>
    </row>
    <row r="109" spans="1:13" s="16" customFormat="1" ht="20.100000000000001" customHeight="1" thickBot="1" x14ac:dyDescent="0.3">
      <c r="A109" s="14" t="s">
        <v>65</v>
      </c>
      <c r="B109" s="14"/>
      <c r="C109" s="14"/>
      <c r="D109" s="15" t="str">
        <f>D$2</f>
        <v>Год 1</v>
      </c>
      <c r="E109" s="15" t="str">
        <f t="shared" si="50"/>
        <v>Год 2</v>
      </c>
      <c r="F109" s="15" t="str">
        <f t="shared" si="50"/>
        <v>Год 3</v>
      </c>
      <c r="G109" s="15" t="str">
        <f t="shared" si="50"/>
        <v>Год 4</v>
      </c>
      <c r="H109" s="15" t="str">
        <f t="shared" si="50"/>
        <v>Год 5</v>
      </c>
      <c r="I109" s="15" t="str">
        <f t="shared" si="50"/>
        <v>Год 6</v>
      </c>
      <c r="J109" s="15" t="str">
        <f t="shared" si="50"/>
        <v>Год 7</v>
      </c>
      <c r="K109" s="15" t="str">
        <f t="shared" si="50"/>
        <v>Год 8</v>
      </c>
      <c r="L109" s="15" t="str">
        <f t="shared" si="50"/>
        <v>Год 9</v>
      </c>
      <c r="M109" s="15" t="str">
        <f t="shared" si="50"/>
        <v>Год 10</v>
      </c>
    </row>
    <row r="111" spans="1:13" x14ac:dyDescent="0.2">
      <c r="A111" s="4" t="s">
        <v>66</v>
      </c>
      <c r="C111" s="9" t="str">
        <f t="shared" ref="C111:C117" si="59">CUR_NAME</f>
        <v>млн руб.</v>
      </c>
      <c r="D111" s="20">
        <f t="shared" ref="D111:M111" si="60">D10</f>
        <v>52</v>
      </c>
      <c r="E111" s="20">
        <f t="shared" si="60"/>
        <v>108.16000000000001</v>
      </c>
      <c r="F111" s="20">
        <f t="shared" si="60"/>
        <v>112.4864</v>
      </c>
      <c r="G111" s="20">
        <f t="shared" si="60"/>
        <v>116.98585600000003</v>
      </c>
      <c r="H111" s="20">
        <f t="shared" si="60"/>
        <v>121.66529024000003</v>
      </c>
      <c r="I111" s="20">
        <f t="shared" si="60"/>
        <v>126.53190184960003</v>
      </c>
      <c r="J111" s="20">
        <f t="shared" si="60"/>
        <v>131.59317792358405</v>
      </c>
      <c r="K111" s="20">
        <f t="shared" si="60"/>
        <v>136.85690504052741</v>
      </c>
      <c r="L111" s="20">
        <f t="shared" si="60"/>
        <v>142.33118124214852</v>
      </c>
      <c r="M111" s="20">
        <f t="shared" si="60"/>
        <v>148.02442849183447</v>
      </c>
    </row>
    <row r="112" spans="1:13" x14ac:dyDescent="0.2">
      <c r="A112" s="4" t="s">
        <v>16</v>
      </c>
      <c r="C112" s="9" t="str">
        <f t="shared" si="59"/>
        <v>млн руб.</v>
      </c>
      <c r="D112" s="20">
        <f t="shared" ref="D112:M112" si="61">-D26</f>
        <v>-36.4</v>
      </c>
      <c r="E112" s="20">
        <f t="shared" si="61"/>
        <v>-75.712000000000003</v>
      </c>
      <c r="F112" s="20">
        <f t="shared" si="61"/>
        <v>-78.740479999999991</v>
      </c>
      <c r="G112" s="20">
        <f t="shared" si="61"/>
        <v>-81.890099200000009</v>
      </c>
      <c r="H112" s="20">
        <f t="shared" si="61"/>
        <v>-85.165703168000022</v>
      </c>
      <c r="I112" s="20">
        <f t="shared" si="61"/>
        <v>-88.572331294720016</v>
      </c>
      <c r="J112" s="20">
        <f t="shared" si="61"/>
        <v>-92.115224546508827</v>
      </c>
      <c r="K112" s="20">
        <f t="shared" si="61"/>
        <v>-95.799833528369177</v>
      </c>
      <c r="L112" s="20">
        <f t="shared" si="61"/>
        <v>-99.631826869503954</v>
      </c>
      <c r="M112" s="20">
        <f t="shared" si="61"/>
        <v>-103.61709994428412</v>
      </c>
    </row>
    <row r="113" spans="1:13" x14ac:dyDescent="0.2">
      <c r="A113" s="4" t="s">
        <v>17</v>
      </c>
      <c r="C113" s="9" t="str">
        <f t="shared" si="59"/>
        <v>млн руб.</v>
      </c>
      <c r="D113" s="20">
        <f>-D27</f>
        <v>-2.6</v>
      </c>
      <c r="E113" s="20">
        <f t="shared" ref="E113:M113" si="62">-E27</f>
        <v>-5.4080000000000013</v>
      </c>
      <c r="F113" s="20">
        <f t="shared" si="62"/>
        <v>-5.6243200000000009</v>
      </c>
      <c r="G113" s="20">
        <f t="shared" si="62"/>
        <v>-5.8492928000000015</v>
      </c>
      <c r="H113" s="20">
        <f t="shared" si="62"/>
        <v>-6.0832645120000022</v>
      </c>
      <c r="I113" s="20">
        <f t="shared" si="62"/>
        <v>-6.3265950924800016</v>
      </c>
      <c r="J113" s="20">
        <f t="shared" si="62"/>
        <v>-6.5796588961792031</v>
      </c>
      <c r="K113" s="20">
        <f t="shared" si="62"/>
        <v>-6.842845252026371</v>
      </c>
      <c r="L113" s="20">
        <f t="shared" si="62"/>
        <v>-7.1165590621074264</v>
      </c>
      <c r="M113" s="20">
        <f t="shared" si="62"/>
        <v>-7.4012214245917241</v>
      </c>
    </row>
    <row r="114" spans="1:13" x14ac:dyDescent="0.2">
      <c r="A114" s="4" t="s">
        <v>18</v>
      </c>
      <c r="C114" s="9" t="str">
        <f t="shared" si="59"/>
        <v>млн руб.</v>
      </c>
      <c r="D114" s="20">
        <f>-D28</f>
        <v>-0.26</v>
      </c>
      <c r="E114" s="20">
        <f t="shared" ref="E114:M114" si="63">-E28</f>
        <v>-0.54080000000000006</v>
      </c>
      <c r="F114" s="20">
        <f t="shared" si="63"/>
        <v>-0.56243200000000004</v>
      </c>
      <c r="G114" s="20">
        <f t="shared" si="63"/>
        <v>-0.58492928000000011</v>
      </c>
      <c r="H114" s="20">
        <f t="shared" si="63"/>
        <v>-0.60832645120000017</v>
      </c>
      <c r="I114" s="20">
        <f t="shared" si="63"/>
        <v>-0.63265950924800018</v>
      </c>
      <c r="J114" s="20">
        <f t="shared" si="63"/>
        <v>-0.65796588961792024</v>
      </c>
      <c r="K114" s="20">
        <f t="shared" si="63"/>
        <v>-0.68428452520263705</v>
      </c>
      <c r="L114" s="20">
        <f t="shared" si="63"/>
        <v>-0.71165590621074259</v>
      </c>
      <c r="M114" s="20">
        <f t="shared" si="63"/>
        <v>-0.74012214245917241</v>
      </c>
    </row>
    <row r="115" spans="1:13" x14ac:dyDescent="0.2">
      <c r="A115" s="4" t="s">
        <v>19</v>
      </c>
      <c r="C115" s="9" t="str">
        <f t="shared" si="59"/>
        <v>млн руб.</v>
      </c>
      <c r="D115" s="20">
        <f>-D29</f>
        <v>-2.6</v>
      </c>
      <c r="E115" s="20">
        <f t="shared" ref="E115:M115" si="64">-E29</f>
        <v>-5.4080000000000013</v>
      </c>
      <c r="F115" s="20">
        <f t="shared" si="64"/>
        <v>-5.6243200000000009</v>
      </c>
      <c r="G115" s="20">
        <f t="shared" si="64"/>
        <v>-5.8492928000000015</v>
      </c>
      <c r="H115" s="20">
        <f t="shared" si="64"/>
        <v>-6.0832645120000022</v>
      </c>
      <c r="I115" s="20">
        <f t="shared" si="64"/>
        <v>-6.3265950924800016</v>
      </c>
      <c r="J115" s="20">
        <f t="shared" si="64"/>
        <v>-6.5796588961792031</v>
      </c>
      <c r="K115" s="20">
        <f t="shared" si="64"/>
        <v>-6.842845252026371</v>
      </c>
      <c r="L115" s="20">
        <f t="shared" si="64"/>
        <v>-7.1165590621074264</v>
      </c>
      <c r="M115" s="20">
        <f t="shared" si="64"/>
        <v>-7.4012214245917241</v>
      </c>
    </row>
    <row r="116" spans="1:13" x14ac:dyDescent="0.2">
      <c r="A116" s="4" t="s">
        <v>67</v>
      </c>
      <c r="C116" s="9" t="str">
        <f t="shared" si="59"/>
        <v>млн руб.</v>
      </c>
      <c r="D116" s="20">
        <f t="shared" ref="D116:M116" si="65">-D99</f>
        <v>-4.6199999999999998E-2</v>
      </c>
      <c r="E116" s="20">
        <f t="shared" si="65"/>
        <v>-0.154</v>
      </c>
      <c r="F116" s="20">
        <f t="shared" si="65"/>
        <v>-0.14629999999999999</v>
      </c>
      <c r="G116" s="20">
        <f t="shared" si="65"/>
        <v>-0.1386</v>
      </c>
      <c r="H116" s="20">
        <f t="shared" si="65"/>
        <v>-0.13089999999999999</v>
      </c>
      <c r="I116" s="20">
        <f t="shared" si="65"/>
        <v>-0.12319999999999999</v>
      </c>
      <c r="J116" s="20">
        <f t="shared" si="65"/>
        <v>-0.11549999999999999</v>
      </c>
      <c r="K116" s="20">
        <f t="shared" si="65"/>
        <v>-0.10780000000000001</v>
      </c>
      <c r="L116" s="20">
        <f t="shared" si="65"/>
        <v>-0.10009999999999999</v>
      </c>
      <c r="M116" s="20">
        <f t="shared" si="65"/>
        <v>-9.2399999999999982E-2</v>
      </c>
    </row>
    <row r="117" spans="1:13" x14ac:dyDescent="0.2">
      <c r="A117" s="28" t="s">
        <v>68</v>
      </c>
      <c r="C117" s="9" t="str">
        <f t="shared" si="59"/>
        <v>млн руб.</v>
      </c>
      <c r="D117" s="13">
        <f>SUM(D111:D116)</f>
        <v>10.093800000000002</v>
      </c>
      <c r="E117" s="13">
        <f t="shared" ref="E117:M117" si="66">SUM(E111:E116)</f>
        <v>20.937200000000004</v>
      </c>
      <c r="F117" s="13">
        <f t="shared" si="66"/>
        <v>21.788548000000009</v>
      </c>
      <c r="G117" s="13">
        <f t="shared" si="66"/>
        <v>22.673641920000016</v>
      </c>
      <c r="H117" s="13">
        <f t="shared" si="66"/>
        <v>23.593831596800005</v>
      </c>
      <c r="I117" s="13">
        <f t="shared" si="66"/>
        <v>24.550520860672012</v>
      </c>
      <c r="J117" s="13">
        <f t="shared" si="66"/>
        <v>25.545169695098895</v>
      </c>
      <c r="K117" s="13">
        <f t="shared" si="66"/>
        <v>26.579296482902851</v>
      </c>
      <c r="L117" s="13">
        <f t="shared" si="66"/>
        <v>27.654480342218964</v>
      </c>
      <c r="M117" s="13">
        <f t="shared" si="66"/>
        <v>28.772363555907727</v>
      </c>
    </row>
    <row r="118" spans="1:13" x14ac:dyDescent="0.2">
      <c r="C118" s="9"/>
      <c r="D118" s="20"/>
      <c r="E118" s="20"/>
      <c r="F118" s="20"/>
      <c r="G118" s="20"/>
      <c r="H118" s="20"/>
      <c r="I118" s="20"/>
      <c r="J118" s="20"/>
      <c r="K118" s="20"/>
      <c r="L118" s="20"/>
      <c r="M118" s="20"/>
    </row>
    <row r="119" spans="1:13" x14ac:dyDescent="0.2">
      <c r="A119" s="4" t="s">
        <v>69</v>
      </c>
      <c r="C119" s="9" t="str">
        <f>CUR_NAME</f>
        <v>млн руб.</v>
      </c>
      <c r="D119" s="20">
        <f t="shared" ref="D119:M119" si="67">-SUM(D64:D66)</f>
        <v>0</v>
      </c>
      <c r="E119" s="20">
        <f t="shared" si="67"/>
        <v>0</v>
      </c>
      <c r="F119" s="20">
        <f t="shared" si="67"/>
        <v>-1.7499999999999998</v>
      </c>
      <c r="G119" s="20">
        <f t="shared" si="67"/>
        <v>-1.7499999999999998</v>
      </c>
      <c r="H119" s="20">
        <f t="shared" si="67"/>
        <v>-1.7499999999999998</v>
      </c>
      <c r="I119" s="20">
        <f t="shared" si="67"/>
        <v>-1.7499999999999998</v>
      </c>
      <c r="J119" s="20">
        <f t="shared" si="67"/>
        <v>-1.7499999999999998</v>
      </c>
      <c r="K119" s="20">
        <f t="shared" si="67"/>
        <v>-1.5499999999999998</v>
      </c>
      <c r="L119" s="20">
        <f t="shared" si="67"/>
        <v>-1.5499999999999998</v>
      </c>
      <c r="M119" s="20">
        <f t="shared" si="67"/>
        <v>-1.5499999999999998</v>
      </c>
    </row>
    <row r="120" spans="1:13" x14ac:dyDescent="0.2">
      <c r="A120" s="4" t="s">
        <v>70</v>
      </c>
      <c r="C120" s="9" t="str">
        <f>CUR_NAME</f>
        <v>млн руб.</v>
      </c>
      <c r="D120" s="20">
        <f t="shared" ref="D120:M120" ca="1" si="68">-D93</f>
        <v>-2.0777739726027367E-2</v>
      </c>
      <c r="E120" s="20">
        <f t="shared" ca="1" si="68"/>
        <v>-7.394820276236809E-2</v>
      </c>
      <c r="F120" s="20">
        <f t="shared" ca="1" si="68"/>
        <v>-7.394820276236809E-2</v>
      </c>
      <c r="G120" s="20">
        <f t="shared" ca="1" si="68"/>
        <v>0</v>
      </c>
      <c r="H120" s="20">
        <f t="shared" ca="1" si="68"/>
        <v>0</v>
      </c>
      <c r="I120" s="20">
        <f t="shared" ca="1" si="68"/>
        <v>0</v>
      </c>
      <c r="J120" s="20">
        <f t="shared" ca="1" si="68"/>
        <v>0</v>
      </c>
      <c r="K120" s="20">
        <f t="shared" ca="1" si="68"/>
        <v>0</v>
      </c>
      <c r="L120" s="20">
        <f t="shared" ca="1" si="68"/>
        <v>0</v>
      </c>
      <c r="M120" s="20">
        <f t="shared" ca="1" si="68"/>
        <v>0</v>
      </c>
    </row>
    <row r="121" spans="1:13" x14ac:dyDescent="0.2">
      <c r="A121" s="4" t="s">
        <v>71</v>
      </c>
      <c r="C121" s="9" t="str">
        <f>CUR_NAME</f>
        <v>млн руб.</v>
      </c>
      <c r="D121" s="20">
        <f ca="1">SUM(D117:D120)</f>
        <v>10.073022260273975</v>
      </c>
      <c r="E121" s="20">
        <f t="shared" ref="E121:M121" ca="1" si="69">SUM(E117:E120)</f>
        <v>20.863251797237638</v>
      </c>
      <c r="F121" s="20">
        <f t="shared" ca="1" si="69"/>
        <v>19.964599797237643</v>
      </c>
      <c r="G121" s="20">
        <f t="shared" ca="1" si="69"/>
        <v>20.923641920000016</v>
      </c>
      <c r="H121" s="20">
        <f t="shared" ca="1" si="69"/>
        <v>21.843831596800005</v>
      </c>
      <c r="I121" s="20">
        <f t="shared" ca="1" si="69"/>
        <v>22.800520860672012</v>
      </c>
      <c r="J121" s="20">
        <f t="shared" ca="1" si="69"/>
        <v>23.795169695098895</v>
      </c>
      <c r="K121" s="20">
        <f t="shared" ca="1" si="69"/>
        <v>25.029296482902851</v>
      </c>
      <c r="L121" s="20">
        <f t="shared" ca="1" si="69"/>
        <v>26.104480342218963</v>
      </c>
      <c r="M121" s="20">
        <f t="shared" ca="1" si="69"/>
        <v>27.222363555907727</v>
      </c>
    </row>
    <row r="122" spans="1:13" x14ac:dyDescent="0.2">
      <c r="A122" s="4" t="s">
        <v>72</v>
      </c>
      <c r="C122" s="9" t="str">
        <f>CUR_NAME</f>
        <v>млн руб.</v>
      </c>
      <c r="D122" s="20">
        <f t="shared" ref="D122:M122" ca="1" si="70">-D98</f>
        <v>-2.0146044520547952</v>
      </c>
      <c r="E122" s="20">
        <f t="shared" ca="1" si="70"/>
        <v>-4.1726503594475277</v>
      </c>
      <c r="F122" s="20">
        <f t="shared" ca="1" si="70"/>
        <v>-3.9929199594475286</v>
      </c>
      <c r="G122" s="20">
        <f t="shared" ca="1" si="70"/>
        <v>-4.1847283840000031</v>
      </c>
      <c r="H122" s="20">
        <f t="shared" ca="1" si="70"/>
        <v>-4.3687663193600015</v>
      </c>
      <c r="I122" s="20">
        <f t="shared" ca="1" si="70"/>
        <v>-4.5601041721344027</v>
      </c>
      <c r="J122" s="20">
        <f t="shared" ca="1" si="70"/>
        <v>-4.7590339390197789</v>
      </c>
      <c r="K122" s="20">
        <f t="shared" ca="1" si="70"/>
        <v>-5.0058592965805708</v>
      </c>
      <c r="L122" s="20">
        <f t="shared" ca="1" si="70"/>
        <v>-5.2208960684437926</v>
      </c>
      <c r="M122" s="20">
        <f t="shared" ca="1" si="70"/>
        <v>-5.4444727111815459</v>
      </c>
    </row>
    <row r="123" spans="1:13" x14ac:dyDescent="0.2">
      <c r="A123" s="28" t="s">
        <v>73</v>
      </c>
      <c r="C123" s="9" t="str">
        <f>CUR_NAME</f>
        <v>млн руб.</v>
      </c>
      <c r="D123" s="13">
        <f ca="1">SUM(D121:D122)</f>
        <v>8.0584178082191791</v>
      </c>
      <c r="E123" s="13">
        <f t="shared" ref="E123:M123" ca="1" si="71">SUM(E121:E122)</f>
        <v>16.690601437790111</v>
      </c>
      <c r="F123" s="13">
        <f t="shared" ca="1" si="71"/>
        <v>15.971679837790115</v>
      </c>
      <c r="G123" s="13">
        <f t="shared" ca="1" si="71"/>
        <v>16.738913536000013</v>
      </c>
      <c r="H123" s="13">
        <f t="shared" ca="1" si="71"/>
        <v>17.475065277440002</v>
      </c>
      <c r="I123" s="13">
        <f t="shared" ca="1" si="71"/>
        <v>18.240416688537611</v>
      </c>
      <c r="J123" s="13">
        <f t="shared" ca="1" si="71"/>
        <v>19.036135756079116</v>
      </c>
      <c r="K123" s="13">
        <f t="shared" ca="1" si="71"/>
        <v>20.02343718632228</v>
      </c>
      <c r="L123" s="13">
        <f t="shared" ca="1" si="71"/>
        <v>20.88358427377517</v>
      </c>
      <c r="M123" s="13">
        <f t="shared" ca="1" si="71"/>
        <v>21.77789084472618</v>
      </c>
    </row>
    <row r="125" spans="1:13" s="16" customFormat="1" ht="20.100000000000001" customHeight="1" thickBot="1" x14ac:dyDescent="0.3">
      <c r="A125" s="14" t="s">
        <v>74</v>
      </c>
      <c r="B125" s="14"/>
      <c r="C125" s="14"/>
      <c r="D125" s="15" t="str">
        <f>D$2</f>
        <v>Год 1</v>
      </c>
      <c r="E125" s="15" t="str">
        <f t="shared" ref="E125:M125" si="72">E$2</f>
        <v>Год 2</v>
      </c>
      <c r="F125" s="15" t="str">
        <f t="shared" si="72"/>
        <v>Год 3</v>
      </c>
      <c r="G125" s="15" t="str">
        <f t="shared" si="72"/>
        <v>Год 4</v>
      </c>
      <c r="H125" s="15" t="str">
        <f t="shared" si="72"/>
        <v>Год 5</v>
      </c>
      <c r="I125" s="15" t="str">
        <f t="shared" si="72"/>
        <v>Год 6</v>
      </c>
      <c r="J125" s="15" t="str">
        <f t="shared" si="72"/>
        <v>Год 7</v>
      </c>
      <c r="K125" s="15" t="str">
        <f t="shared" si="72"/>
        <v>Год 8</v>
      </c>
      <c r="L125" s="15" t="str">
        <f t="shared" si="72"/>
        <v>Год 9</v>
      </c>
      <c r="M125" s="15" t="str">
        <f t="shared" si="72"/>
        <v>Год 10</v>
      </c>
    </row>
    <row r="127" spans="1:13" x14ac:dyDescent="0.2">
      <c r="A127" s="4" t="s">
        <v>73</v>
      </c>
      <c r="C127" s="9" t="str">
        <f>CUR_NAME</f>
        <v>млн руб.</v>
      </c>
      <c r="D127" s="20">
        <f ca="1">D123</f>
        <v>8.0584178082191791</v>
      </c>
      <c r="E127" s="20">
        <f t="shared" ref="E127:M127" ca="1" si="73">E123</f>
        <v>16.690601437790111</v>
      </c>
      <c r="F127" s="20">
        <f t="shared" ca="1" si="73"/>
        <v>15.971679837790115</v>
      </c>
      <c r="G127" s="20">
        <f t="shared" ca="1" si="73"/>
        <v>16.738913536000013</v>
      </c>
      <c r="H127" s="20">
        <f t="shared" ca="1" si="73"/>
        <v>17.475065277440002</v>
      </c>
      <c r="I127" s="20">
        <f t="shared" ca="1" si="73"/>
        <v>18.240416688537611</v>
      </c>
      <c r="J127" s="20">
        <f t="shared" ca="1" si="73"/>
        <v>19.036135756079116</v>
      </c>
      <c r="K127" s="20">
        <f t="shared" ca="1" si="73"/>
        <v>20.02343718632228</v>
      </c>
      <c r="L127" s="20">
        <f t="shared" ca="1" si="73"/>
        <v>20.88358427377517</v>
      </c>
      <c r="M127" s="20">
        <f t="shared" ca="1" si="73"/>
        <v>21.77789084472618</v>
      </c>
    </row>
    <row r="128" spans="1:13" x14ac:dyDescent="0.2">
      <c r="A128" s="4" t="s">
        <v>69</v>
      </c>
      <c r="C128" s="9" t="str">
        <f>CUR_NAME</f>
        <v>млн руб.</v>
      </c>
      <c r="D128" s="20">
        <f>-D119</f>
        <v>0</v>
      </c>
      <c r="E128" s="20">
        <f t="shared" ref="E128:M128" si="74">-E119</f>
        <v>0</v>
      </c>
      <c r="F128" s="20">
        <f t="shared" si="74"/>
        <v>1.7499999999999998</v>
      </c>
      <c r="G128" s="20">
        <f t="shared" si="74"/>
        <v>1.7499999999999998</v>
      </c>
      <c r="H128" s="20">
        <f t="shared" si="74"/>
        <v>1.7499999999999998</v>
      </c>
      <c r="I128" s="20">
        <f t="shared" si="74"/>
        <v>1.7499999999999998</v>
      </c>
      <c r="J128" s="20">
        <f t="shared" si="74"/>
        <v>1.7499999999999998</v>
      </c>
      <c r="K128" s="20">
        <f t="shared" si="74"/>
        <v>1.5499999999999998</v>
      </c>
      <c r="L128" s="20">
        <f t="shared" si="74"/>
        <v>1.5499999999999998</v>
      </c>
      <c r="M128" s="20">
        <f t="shared" si="74"/>
        <v>1.5499999999999998</v>
      </c>
    </row>
    <row r="129" spans="1:13" x14ac:dyDescent="0.2">
      <c r="A129" s="4" t="s">
        <v>37</v>
      </c>
      <c r="C129" s="9" t="str">
        <f>CUR_NAME</f>
        <v>млн руб.</v>
      </c>
      <c r="D129" s="20">
        <f t="shared" ref="D129:M129" si="75">-D45</f>
        <v>-4.2739726027397271</v>
      </c>
      <c r="E129" s="20">
        <f t="shared" si="75"/>
        <v>-4.6158904109589027</v>
      </c>
      <c r="F129" s="20">
        <f t="shared" si="75"/>
        <v>-0.35559452054794605</v>
      </c>
      <c r="G129" s="20">
        <f t="shared" si="75"/>
        <v>-0.3698183013698646</v>
      </c>
      <c r="H129" s="20">
        <f t="shared" si="75"/>
        <v>-0.38461103342465819</v>
      </c>
      <c r="I129" s="20">
        <f t="shared" si="75"/>
        <v>-0.3999954747616421</v>
      </c>
      <c r="J129" s="20">
        <f t="shared" si="75"/>
        <v>-0.41599529375211119</v>
      </c>
      <c r="K129" s="20">
        <f t="shared" si="75"/>
        <v>-0.43263510550219308</v>
      </c>
      <c r="L129" s="20">
        <f t="shared" si="75"/>
        <v>-0.4499405097222855</v>
      </c>
      <c r="M129" s="20">
        <f t="shared" si="75"/>
        <v>-0.46793813011117535</v>
      </c>
    </row>
    <row r="130" spans="1:13" x14ac:dyDescent="0.2">
      <c r="A130" s="28" t="s">
        <v>79</v>
      </c>
      <c r="C130" s="9" t="str">
        <f>CUR_NAME</f>
        <v>млн руб.</v>
      </c>
      <c r="D130" s="13">
        <f ca="1">SUM(D127:D129)</f>
        <v>3.784445205479452</v>
      </c>
      <c r="E130" s="13">
        <f t="shared" ref="E130:M130" ca="1" si="76">SUM(E127:E129)</f>
        <v>12.074711026831208</v>
      </c>
      <c r="F130" s="13">
        <f t="shared" ca="1" si="76"/>
        <v>17.366085317242167</v>
      </c>
      <c r="G130" s="13">
        <f t="shared" ca="1" si="76"/>
        <v>18.119095234630148</v>
      </c>
      <c r="H130" s="13">
        <f t="shared" ca="1" si="76"/>
        <v>18.840454244015344</v>
      </c>
      <c r="I130" s="13">
        <f t="shared" ca="1" si="76"/>
        <v>19.590421213775969</v>
      </c>
      <c r="J130" s="13">
        <f t="shared" ca="1" si="76"/>
        <v>20.370140462327004</v>
      </c>
      <c r="K130" s="13">
        <f t="shared" ca="1" si="76"/>
        <v>21.140802080820087</v>
      </c>
      <c r="L130" s="13">
        <f t="shared" ca="1" si="76"/>
        <v>21.983643764052886</v>
      </c>
      <c r="M130" s="13">
        <f t="shared" ca="1" si="76"/>
        <v>22.859952714615005</v>
      </c>
    </row>
    <row r="131" spans="1:13" x14ac:dyDescent="0.2">
      <c r="C131" s="9"/>
      <c r="D131" s="20"/>
      <c r="E131" s="20"/>
      <c r="F131" s="20"/>
      <c r="G131" s="20"/>
      <c r="H131" s="20"/>
      <c r="I131" s="20"/>
      <c r="J131" s="20"/>
      <c r="K131" s="20"/>
      <c r="L131" s="20"/>
      <c r="M131" s="20"/>
    </row>
    <row r="132" spans="1:13" x14ac:dyDescent="0.2">
      <c r="A132" s="4" t="s">
        <v>42</v>
      </c>
      <c r="C132" s="9" t="str">
        <f>CUR_NAME</f>
        <v>млн руб.</v>
      </c>
      <c r="D132" s="20">
        <f t="shared" ref="D132:M132" si="77">-D53</f>
        <v>-2.1</v>
      </c>
      <c r="E132" s="20">
        <f t="shared" si="77"/>
        <v>-4.9000000000000004</v>
      </c>
      <c r="F132" s="20">
        <f t="shared" si="77"/>
        <v>0</v>
      </c>
      <c r="G132" s="20">
        <f t="shared" si="77"/>
        <v>0</v>
      </c>
      <c r="H132" s="20">
        <f t="shared" si="77"/>
        <v>0</v>
      </c>
      <c r="I132" s="20">
        <f t="shared" si="77"/>
        <v>0</v>
      </c>
      <c r="J132" s="20">
        <f t="shared" si="77"/>
        <v>0</v>
      </c>
      <c r="K132" s="20">
        <f t="shared" si="77"/>
        <v>0</v>
      </c>
      <c r="L132" s="20">
        <f t="shared" si="77"/>
        <v>0</v>
      </c>
      <c r="M132" s="20">
        <f t="shared" si="77"/>
        <v>0</v>
      </c>
    </row>
    <row r="133" spans="1:13" x14ac:dyDescent="0.2">
      <c r="A133" s="4" t="s">
        <v>43</v>
      </c>
      <c r="C133" s="9" t="str">
        <f>CUR_NAME</f>
        <v>млн руб.</v>
      </c>
      <c r="D133" s="20">
        <f>-D54</f>
        <v>-3.5999999999999996</v>
      </c>
      <c r="E133" s="20">
        <f t="shared" ref="E133:M133" si="78">-E54</f>
        <v>-8.4</v>
      </c>
      <c r="F133" s="20">
        <f t="shared" si="78"/>
        <v>0</v>
      </c>
      <c r="G133" s="20">
        <f t="shared" si="78"/>
        <v>0</v>
      </c>
      <c r="H133" s="20">
        <f t="shared" si="78"/>
        <v>0</v>
      </c>
      <c r="I133" s="20">
        <f t="shared" si="78"/>
        <v>0</v>
      </c>
      <c r="J133" s="20">
        <f t="shared" si="78"/>
        <v>0</v>
      </c>
      <c r="K133" s="20">
        <f t="shared" si="78"/>
        <v>0</v>
      </c>
      <c r="L133" s="20">
        <f t="shared" si="78"/>
        <v>0</v>
      </c>
      <c r="M133" s="20">
        <f t="shared" si="78"/>
        <v>0</v>
      </c>
    </row>
    <row r="134" spans="1:13" x14ac:dyDescent="0.2">
      <c r="A134" s="4" t="s">
        <v>44</v>
      </c>
      <c r="C134" s="9" t="str">
        <f>CUR_NAME</f>
        <v>млн руб.</v>
      </c>
      <c r="D134" s="20">
        <f>-D55</f>
        <v>-0.30000000000000004</v>
      </c>
      <c r="E134" s="20">
        <f t="shared" ref="E134:M134" si="79">-E55</f>
        <v>-0.70000000000000007</v>
      </c>
      <c r="F134" s="20">
        <f t="shared" si="79"/>
        <v>0</v>
      </c>
      <c r="G134" s="20">
        <f t="shared" si="79"/>
        <v>0</v>
      </c>
      <c r="H134" s="20">
        <f t="shared" si="79"/>
        <v>0</v>
      </c>
      <c r="I134" s="20">
        <f t="shared" si="79"/>
        <v>0</v>
      </c>
      <c r="J134" s="20">
        <f t="shared" si="79"/>
        <v>0</v>
      </c>
      <c r="K134" s="20">
        <f t="shared" si="79"/>
        <v>0</v>
      </c>
      <c r="L134" s="20">
        <f t="shared" si="79"/>
        <v>0</v>
      </c>
      <c r="M134" s="20">
        <f t="shared" si="79"/>
        <v>0</v>
      </c>
    </row>
    <row r="135" spans="1:13" x14ac:dyDescent="0.2">
      <c r="A135" s="28" t="s">
        <v>80</v>
      </c>
      <c r="C135" s="9" t="str">
        <f>CUR_NAME</f>
        <v>млн руб.</v>
      </c>
      <c r="D135" s="13">
        <f>SUM(D132:D134)</f>
        <v>-5.9999999999999991</v>
      </c>
      <c r="E135" s="13">
        <f t="shared" ref="E135:M135" si="80">SUM(E132:E134)</f>
        <v>-14</v>
      </c>
      <c r="F135" s="13">
        <f t="shared" si="80"/>
        <v>0</v>
      </c>
      <c r="G135" s="13">
        <f t="shared" si="80"/>
        <v>0</v>
      </c>
      <c r="H135" s="13">
        <f t="shared" si="80"/>
        <v>0</v>
      </c>
      <c r="I135" s="13">
        <f t="shared" si="80"/>
        <v>0</v>
      </c>
      <c r="J135" s="13">
        <f t="shared" si="80"/>
        <v>0</v>
      </c>
      <c r="K135" s="13">
        <f t="shared" si="80"/>
        <v>0</v>
      </c>
      <c r="L135" s="13">
        <f t="shared" si="80"/>
        <v>0</v>
      </c>
      <c r="M135" s="13">
        <f t="shared" si="80"/>
        <v>0</v>
      </c>
    </row>
    <row r="136" spans="1:13" x14ac:dyDescent="0.2">
      <c r="C136" s="9"/>
      <c r="D136" s="20"/>
      <c r="E136" s="20"/>
      <c r="F136" s="20"/>
      <c r="G136" s="20"/>
      <c r="H136" s="20"/>
      <c r="I136" s="20"/>
      <c r="J136" s="20"/>
      <c r="K136" s="20"/>
      <c r="L136" s="20"/>
      <c r="M136" s="20"/>
    </row>
    <row r="137" spans="1:13" x14ac:dyDescent="0.2">
      <c r="A137" s="4" t="s">
        <v>75</v>
      </c>
      <c r="C137" s="9" t="str">
        <f>CUR_NAME</f>
        <v>млн руб.</v>
      </c>
      <c r="D137" s="20">
        <f t="shared" ref="D137:M137" si="81">D83</f>
        <v>1.7999999999999998</v>
      </c>
      <c r="E137" s="20">
        <f t="shared" si="81"/>
        <v>4.2</v>
      </c>
      <c r="F137" s="20">
        <f t="shared" si="81"/>
        <v>0</v>
      </c>
      <c r="G137" s="20">
        <f t="shared" si="81"/>
        <v>0</v>
      </c>
      <c r="H137" s="20">
        <f t="shared" si="81"/>
        <v>0</v>
      </c>
      <c r="I137" s="20">
        <f t="shared" si="81"/>
        <v>0</v>
      </c>
      <c r="J137" s="20">
        <f t="shared" si="81"/>
        <v>0</v>
      </c>
      <c r="K137" s="20">
        <f t="shared" si="81"/>
        <v>0</v>
      </c>
      <c r="L137" s="20">
        <f t="shared" si="81"/>
        <v>0</v>
      </c>
      <c r="M137" s="20">
        <f t="shared" si="81"/>
        <v>0</v>
      </c>
    </row>
    <row r="138" spans="1:13" x14ac:dyDescent="0.2">
      <c r="A138" s="4" t="s">
        <v>76</v>
      </c>
      <c r="C138" s="9" t="str">
        <f>CUR_NAME</f>
        <v>млн руб.</v>
      </c>
      <c r="D138" s="20">
        <f t="shared" ref="D138:M138" ca="1" si="82">D88</f>
        <v>0.41555479452054733</v>
      </c>
      <c r="E138" s="20">
        <f t="shared" ca="1" si="82"/>
        <v>1.0634092607268144</v>
      </c>
      <c r="F138" s="20">
        <f t="shared" si="82"/>
        <v>0</v>
      </c>
      <c r="G138" s="20">
        <f t="shared" si="82"/>
        <v>0</v>
      </c>
      <c r="H138" s="20">
        <f t="shared" si="82"/>
        <v>0</v>
      </c>
      <c r="I138" s="20">
        <f t="shared" si="82"/>
        <v>0</v>
      </c>
      <c r="J138" s="20">
        <f t="shared" si="82"/>
        <v>0</v>
      </c>
      <c r="K138" s="20">
        <f t="shared" si="82"/>
        <v>0</v>
      </c>
      <c r="L138" s="20">
        <f t="shared" si="82"/>
        <v>0</v>
      </c>
      <c r="M138" s="20">
        <f t="shared" si="82"/>
        <v>0</v>
      </c>
    </row>
    <row r="139" spans="1:13" x14ac:dyDescent="0.2">
      <c r="A139" s="4" t="s">
        <v>77</v>
      </c>
      <c r="C139" s="9" t="str">
        <f>CUR_NAME</f>
        <v>млн руб.</v>
      </c>
      <c r="D139" s="20">
        <f t="shared" ref="D139:M139" si="83">-D89</f>
        <v>0</v>
      </c>
      <c r="E139" s="20">
        <f t="shared" si="83"/>
        <v>0</v>
      </c>
      <c r="F139" s="20">
        <f t="shared" ca="1" si="83"/>
        <v>-1.4789640552473617</v>
      </c>
      <c r="G139" s="20">
        <f t="shared" ca="1" si="83"/>
        <v>0</v>
      </c>
      <c r="H139" s="20">
        <f t="shared" ca="1" si="83"/>
        <v>0</v>
      </c>
      <c r="I139" s="20">
        <f t="shared" ca="1" si="83"/>
        <v>0</v>
      </c>
      <c r="J139" s="20">
        <f t="shared" ca="1" si="83"/>
        <v>0</v>
      </c>
      <c r="K139" s="20">
        <f t="shared" ca="1" si="83"/>
        <v>0</v>
      </c>
      <c r="L139" s="20">
        <f t="shared" ca="1" si="83"/>
        <v>0</v>
      </c>
      <c r="M139" s="20">
        <f t="shared" ca="1" si="83"/>
        <v>0</v>
      </c>
    </row>
    <row r="140" spans="1:13" x14ac:dyDescent="0.2">
      <c r="A140" s="4" t="s">
        <v>55</v>
      </c>
      <c r="C140" s="9" t="str">
        <f>CUR_NAME</f>
        <v>млн руб.</v>
      </c>
      <c r="D140" s="20">
        <f t="shared" ref="D140:M140" ca="1" si="84">-D86</f>
        <v>0</v>
      </c>
      <c r="E140" s="20">
        <f t="shared" ca="1" si="84"/>
        <v>-3.3381202875580223</v>
      </c>
      <c r="F140" s="20">
        <f t="shared" ca="1" si="84"/>
        <v>-3.1943359675580232</v>
      </c>
      <c r="G140" s="20">
        <f t="shared" ca="1" si="84"/>
        <v>-3.3477827072000026</v>
      </c>
      <c r="H140" s="20">
        <f t="shared" ca="1" si="84"/>
        <v>-3.4950130554880006</v>
      </c>
      <c r="I140" s="20">
        <f t="shared" ca="1" si="84"/>
        <v>-3.6480833377075221</v>
      </c>
      <c r="J140" s="20">
        <f t="shared" ca="1" si="84"/>
        <v>-3.8072271512158231</v>
      </c>
      <c r="K140" s="20">
        <f t="shared" ca="1" si="84"/>
        <v>-4.0046874372644563</v>
      </c>
      <c r="L140" s="20">
        <f t="shared" ca="1" si="84"/>
        <v>-4.1767168547550346</v>
      </c>
      <c r="M140" s="20">
        <f t="shared" ca="1" si="84"/>
        <v>-4.355578168945236</v>
      </c>
    </row>
    <row r="141" spans="1:13" x14ac:dyDescent="0.2">
      <c r="A141" s="28" t="s">
        <v>81</v>
      </c>
      <c r="C141" s="9" t="str">
        <f>CUR_NAME</f>
        <v>млн руб.</v>
      </c>
      <c r="D141" s="13">
        <f ca="1">SUM(D137:D140)</f>
        <v>2.2155547945205472</v>
      </c>
      <c r="E141" s="13">
        <f t="shared" ref="E141:M141" ca="1" si="85">SUM(E137:E140)</f>
        <v>1.9252889731687923</v>
      </c>
      <c r="F141" s="13">
        <f t="shared" ca="1" si="85"/>
        <v>-4.6733000228053854</v>
      </c>
      <c r="G141" s="13">
        <f t="shared" ca="1" si="85"/>
        <v>-3.3477827072000026</v>
      </c>
      <c r="H141" s="13">
        <f t="shared" ca="1" si="85"/>
        <v>-3.4950130554880006</v>
      </c>
      <c r="I141" s="13">
        <f t="shared" ca="1" si="85"/>
        <v>-3.6480833377075221</v>
      </c>
      <c r="J141" s="13">
        <f t="shared" ca="1" si="85"/>
        <v>-3.8072271512158231</v>
      </c>
      <c r="K141" s="13">
        <f t="shared" ca="1" si="85"/>
        <v>-4.0046874372644563</v>
      </c>
      <c r="L141" s="13">
        <f t="shared" ca="1" si="85"/>
        <v>-4.1767168547550346</v>
      </c>
      <c r="M141" s="13">
        <f t="shared" ca="1" si="85"/>
        <v>-4.355578168945236</v>
      </c>
    </row>
    <row r="142" spans="1:13" x14ac:dyDescent="0.2">
      <c r="C142" s="9"/>
      <c r="D142" s="20"/>
      <c r="E142" s="20"/>
      <c r="F142" s="20"/>
      <c r="G142" s="20"/>
      <c r="H142" s="20"/>
      <c r="I142" s="20"/>
      <c r="J142" s="20"/>
      <c r="K142" s="20"/>
      <c r="L142" s="20"/>
      <c r="M142" s="20"/>
    </row>
    <row r="143" spans="1:13" x14ac:dyDescent="0.2">
      <c r="A143" s="4" t="s">
        <v>78</v>
      </c>
      <c r="C143" s="9" t="str">
        <f>CUR_NAME</f>
        <v>млн руб.</v>
      </c>
      <c r="D143" s="20">
        <f ca="1">D130+D135+D141</f>
        <v>0</v>
      </c>
      <c r="E143" s="20">
        <f ca="1">E130+E135+E141</f>
        <v>0</v>
      </c>
      <c r="F143" s="20">
        <f t="shared" ref="F143:M143" ca="1" si="86">F130+F135+F141</f>
        <v>12.692785294436781</v>
      </c>
      <c r="G143" s="20">
        <f t="shared" ca="1" si="86"/>
        <v>14.771312527430146</v>
      </c>
      <c r="H143" s="20">
        <f t="shared" ca="1" si="86"/>
        <v>15.345441188527344</v>
      </c>
      <c r="I143" s="20">
        <f t="shared" ca="1" si="86"/>
        <v>15.942337876068446</v>
      </c>
      <c r="J143" s="20">
        <f t="shared" ca="1" si="86"/>
        <v>16.562913311111181</v>
      </c>
      <c r="K143" s="20">
        <f t="shared" ca="1" si="86"/>
        <v>17.136114643555629</v>
      </c>
      <c r="L143" s="20">
        <f t="shared" ca="1" si="86"/>
        <v>17.80692690929785</v>
      </c>
      <c r="M143" s="20">
        <f t="shared" ca="1" si="86"/>
        <v>18.504374545669769</v>
      </c>
    </row>
    <row r="144" spans="1:13" x14ac:dyDescent="0.2">
      <c r="A144" s="4" t="s">
        <v>82</v>
      </c>
      <c r="C144" s="9" t="str">
        <f>CUR_NAME</f>
        <v>млн руб.</v>
      </c>
      <c r="D144" s="20">
        <v>0</v>
      </c>
      <c r="E144" s="20">
        <f ca="1">D145</f>
        <v>0</v>
      </c>
      <c r="F144" s="20">
        <f t="shared" ref="F144:M144" ca="1" si="87">E145</f>
        <v>0</v>
      </c>
      <c r="G144" s="20">
        <f t="shared" ca="1" si="87"/>
        <v>12.692785294436781</v>
      </c>
      <c r="H144" s="20">
        <f t="shared" ca="1" si="87"/>
        <v>27.464097821866929</v>
      </c>
      <c r="I144" s="20">
        <f t="shared" ca="1" si="87"/>
        <v>42.809539010394275</v>
      </c>
      <c r="J144" s="20">
        <f t="shared" ca="1" si="87"/>
        <v>58.751876886462725</v>
      </c>
      <c r="K144" s="20">
        <f t="shared" ca="1" si="87"/>
        <v>75.314790197573899</v>
      </c>
      <c r="L144" s="20">
        <f t="shared" ca="1" si="87"/>
        <v>92.450904841129528</v>
      </c>
      <c r="M144" s="20">
        <f t="shared" ca="1" si="87"/>
        <v>110.25783175042739</v>
      </c>
    </row>
    <row r="145" spans="1:13" x14ac:dyDescent="0.2">
      <c r="A145" s="4" t="s">
        <v>83</v>
      </c>
      <c r="C145" s="9" t="str">
        <f>CUR_NAME</f>
        <v>млн руб.</v>
      </c>
      <c r="D145" s="20">
        <f ca="1">SUM(D143:D144)</f>
        <v>0</v>
      </c>
      <c r="E145" s="20">
        <f ca="1">SUM(E143:E144)</f>
        <v>0</v>
      </c>
      <c r="F145" s="20">
        <f t="shared" ref="F145:M145" ca="1" si="88">SUM(F143:F144)</f>
        <v>12.692785294436781</v>
      </c>
      <c r="G145" s="20">
        <f t="shared" ca="1" si="88"/>
        <v>27.464097821866929</v>
      </c>
      <c r="H145" s="20">
        <f t="shared" ca="1" si="88"/>
        <v>42.809539010394275</v>
      </c>
      <c r="I145" s="20">
        <f t="shared" ca="1" si="88"/>
        <v>58.751876886462725</v>
      </c>
      <c r="J145" s="20">
        <f t="shared" ca="1" si="88"/>
        <v>75.314790197573899</v>
      </c>
      <c r="K145" s="20">
        <f t="shared" ca="1" si="88"/>
        <v>92.450904841129528</v>
      </c>
      <c r="L145" s="20">
        <f t="shared" ca="1" si="88"/>
        <v>110.25783175042739</v>
      </c>
      <c r="M145" s="20">
        <f t="shared" ca="1" si="88"/>
        <v>128.76220629609716</v>
      </c>
    </row>
    <row r="147" spans="1:13" s="16" customFormat="1" ht="20.100000000000001" customHeight="1" thickBot="1" x14ac:dyDescent="0.3">
      <c r="A147" s="14" t="s">
        <v>85</v>
      </c>
      <c r="B147" s="14"/>
      <c r="C147" s="14"/>
      <c r="D147" s="15" t="str">
        <f>D$2</f>
        <v>Год 1</v>
      </c>
      <c r="E147" s="15" t="str">
        <f t="shared" ref="E147:M147" si="89">E$2</f>
        <v>Год 2</v>
      </c>
      <c r="F147" s="15" t="str">
        <f t="shared" si="89"/>
        <v>Год 3</v>
      </c>
      <c r="G147" s="15" t="str">
        <f t="shared" si="89"/>
        <v>Год 4</v>
      </c>
      <c r="H147" s="15" t="str">
        <f t="shared" si="89"/>
        <v>Год 5</v>
      </c>
      <c r="I147" s="15" t="str">
        <f t="shared" si="89"/>
        <v>Год 6</v>
      </c>
      <c r="J147" s="15" t="str">
        <f t="shared" si="89"/>
        <v>Год 7</v>
      </c>
      <c r="K147" s="15" t="str">
        <f t="shared" si="89"/>
        <v>Год 8</v>
      </c>
      <c r="L147" s="15" t="str">
        <f t="shared" si="89"/>
        <v>Год 9</v>
      </c>
      <c r="M147" s="15" t="str">
        <f t="shared" si="89"/>
        <v>Год 10</v>
      </c>
    </row>
    <row r="149" spans="1:13" x14ac:dyDescent="0.2">
      <c r="A149" s="4" t="s">
        <v>42</v>
      </c>
      <c r="C149" s="9" t="str">
        <f>CUR_NAME</f>
        <v>млн руб.</v>
      </c>
      <c r="D149" s="20">
        <f t="shared" ref="D149:M149" si="90">D74</f>
        <v>2.1</v>
      </c>
      <c r="E149" s="20">
        <f t="shared" si="90"/>
        <v>7</v>
      </c>
      <c r="F149" s="20">
        <f t="shared" si="90"/>
        <v>6.65</v>
      </c>
      <c r="G149" s="20">
        <f t="shared" si="90"/>
        <v>6.3</v>
      </c>
      <c r="H149" s="20">
        <f t="shared" si="90"/>
        <v>5.95</v>
      </c>
      <c r="I149" s="20">
        <f t="shared" si="90"/>
        <v>5.6</v>
      </c>
      <c r="J149" s="20">
        <f t="shared" si="90"/>
        <v>5.25</v>
      </c>
      <c r="K149" s="20">
        <f t="shared" si="90"/>
        <v>4.9000000000000004</v>
      </c>
      <c r="L149" s="20">
        <f t="shared" si="90"/>
        <v>4.55</v>
      </c>
      <c r="M149" s="20">
        <f t="shared" si="90"/>
        <v>4.1999999999999993</v>
      </c>
    </row>
    <row r="150" spans="1:13" x14ac:dyDescent="0.2">
      <c r="A150" s="4" t="s">
        <v>43</v>
      </c>
      <c r="C150" s="9" t="str">
        <f>CUR_NAME</f>
        <v>млн руб.</v>
      </c>
      <c r="D150" s="20">
        <f>D75</f>
        <v>3.5999999999999996</v>
      </c>
      <c r="E150" s="20">
        <f t="shared" ref="E150:M150" si="91">E75</f>
        <v>12</v>
      </c>
      <c r="F150" s="20">
        <f t="shared" si="91"/>
        <v>10.8</v>
      </c>
      <c r="G150" s="20">
        <f t="shared" si="91"/>
        <v>9.6</v>
      </c>
      <c r="H150" s="20">
        <f t="shared" si="91"/>
        <v>8.4</v>
      </c>
      <c r="I150" s="20">
        <f t="shared" si="91"/>
        <v>7.2</v>
      </c>
      <c r="J150" s="20">
        <f t="shared" si="91"/>
        <v>6</v>
      </c>
      <c r="K150" s="20">
        <f t="shared" si="91"/>
        <v>4.8</v>
      </c>
      <c r="L150" s="20">
        <f t="shared" si="91"/>
        <v>3.5999999999999996</v>
      </c>
      <c r="M150" s="20">
        <f t="shared" si="91"/>
        <v>2.4000000000000004</v>
      </c>
    </row>
    <row r="151" spans="1:13" x14ac:dyDescent="0.2">
      <c r="A151" s="4" t="s">
        <v>44</v>
      </c>
      <c r="C151" s="9" t="str">
        <f>CUR_NAME</f>
        <v>млн руб.</v>
      </c>
      <c r="D151" s="20">
        <f>D76</f>
        <v>0.30000000000000004</v>
      </c>
      <c r="E151" s="20">
        <f t="shared" ref="E151:M151" si="92">E76</f>
        <v>1</v>
      </c>
      <c r="F151" s="20">
        <f t="shared" si="92"/>
        <v>0.8</v>
      </c>
      <c r="G151" s="20">
        <f t="shared" si="92"/>
        <v>0.6</v>
      </c>
      <c r="H151" s="20">
        <f t="shared" si="92"/>
        <v>0.39999999999999991</v>
      </c>
      <c r="I151" s="20">
        <f t="shared" si="92"/>
        <v>0.19999999999999996</v>
      </c>
      <c r="J151" s="20">
        <f t="shared" si="92"/>
        <v>0</v>
      </c>
      <c r="K151" s="20">
        <f t="shared" si="92"/>
        <v>0</v>
      </c>
      <c r="L151" s="20">
        <f t="shared" si="92"/>
        <v>0</v>
      </c>
      <c r="M151" s="20">
        <f t="shared" si="92"/>
        <v>0</v>
      </c>
    </row>
    <row r="152" spans="1:13" x14ac:dyDescent="0.2">
      <c r="A152" s="4" t="s">
        <v>88</v>
      </c>
      <c r="C152" s="9" t="str">
        <f>CUR_NAME</f>
        <v>млн руб.</v>
      </c>
      <c r="D152" s="20">
        <f>SUM(D149:D151)</f>
        <v>5.9999999999999991</v>
      </c>
      <c r="E152" s="20">
        <f t="shared" ref="E152:M152" si="93">SUM(E149:E151)</f>
        <v>20</v>
      </c>
      <c r="F152" s="20">
        <f t="shared" si="93"/>
        <v>18.250000000000004</v>
      </c>
      <c r="G152" s="20">
        <f t="shared" si="93"/>
        <v>16.5</v>
      </c>
      <c r="H152" s="20">
        <f t="shared" si="93"/>
        <v>14.750000000000002</v>
      </c>
      <c r="I152" s="20">
        <f t="shared" si="93"/>
        <v>13</v>
      </c>
      <c r="J152" s="20">
        <f t="shared" si="93"/>
        <v>11.25</v>
      </c>
      <c r="K152" s="20">
        <f t="shared" si="93"/>
        <v>9.6999999999999993</v>
      </c>
      <c r="L152" s="20">
        <f t="shared" si="93"/>
        <v>8.1499999999999986</v>
      </c>
      <c r="M152" s="20">
        <f t="shared" si="93"/>
        <v>6.6</v>
      </c>
    </row>
    <row r="153" spans="1:13" x14ac:dyDescent="0.2">
      <c r="C153" s="9"/>
      <c r="D153" s="20"/>
      <c r="E153" s="20"/>
      <c r="F153" s="20"/>
      <c r="G153" s="20"/>
      <c r="H153" s="20"/>
      <c r="I153" s="20"/>
      <c r="J153" s="20"/>
      <c r="K153" s="20"/>
      <c r="L153" s="20"/>
      <c r="M153" s="20"/>
    </row>
    <row r="154" spans="1:13" x14ac:dyDescent="0.2">
      <c r="A154" s="4" t="s">
        <v>33</v>
      </c>
      <c r="C154" s="9" t="str">
        <f>CUR_NAME</f>
        <v>млн руб.</v>
      </c>
      <c r="D154" s="20">
        <f t="shared" ref="D154:M154" si="94">D41</f>
        <v>2.1369863013698631</v>
      </c>
      <c r="E154" s="20">
        <f t="shared" si="94"/>
        <v>4.4449315068493149</v>
      </c>
      <c r="F154" s="20">
        <f t="shared" si="94"/>
        <v>4.622728767123288</v>
      </c>
      <c r="G154" s="20">
        <f t="shared" si="94"/>
        <v>4.8076379178082203</v>
      </c>
      <c r="H154" s="20">
        <f t="shared" si="94"/>
        <v>4.9999434345205493</v>
      </c>
      <c r="I154" s="20">
        <f t="shared" si="94"/>
        <v>5.1999411719013713</v>
      </c>
      <c r="J154" s="20">
        <f t="shared" si="94"/>
        <v>5.4079388187774269</v>
      </c>
      <c r="K154" s="20">
        <f t="shared" si="94"/>
        <v>5.6242563715285234</v>
      </c>
      <c r="L154" s="20">
        <f t="shared" si="94"/>
        <v>5.8492266263896653</v>
      </c>
      <c r="M154" s="20">
        <f t="shared" si="94"/>
        <v>6.0831956914452521</v>
      </c>
    </row>
    <row r="155" spans="1:13" x14ac:dyDescent="0.2">
      <c r="A155" s="4" t="s">
        <v>32</v>
      </c>
      <c r="C155" s="9" t="str">
        <f>CUR_NAME</f>
        <v>млн руб.</v>
      </c>
      <c r="D155" s="20">
        <f t="shared" ref="D155:M155" si="95">D40</f>
        <v>4.2739726027397262</v>
      </c>
      <c r="E155" s="20">
        <f t="shared" si="95"/>
        <v>8.8898630136986299</v>
      </c>
      <c r="F155" s="20">
        <f t="shared" si="95"/>
        <v>9.2454575342465759</v>
      </c>
      <c r="G155" s="20">
        <f t="shared" si="95"/>
        <v>9.6152758356164405</v>
      </c>
      <c r="H155" s="20">
        <f t="shared" si="95"/>
        <v>9.9998868690410987</v>
      </c>
      <c r="I155" s="20">
        <f t="shared" si="95"/>
        <v>10.399882343802743</v>
      </c>
      <c r="J155" s="20">
        <f t="shared" si="95"/>
        <v>10.815877637554854</v>
      </c>
      <c r="K155" s="20">
        <f t="shared" si="95"/>
        <v>11.248512743057047</v>
      </c>
      <c r="L155" s="20">
        <f t="shared" si="95"/>
        <v>11.698453252779331</v>
      </c>
      <c r="M155" s="20">
        <f t="shared" si="95"/>
        <v>12.166391382890504</v>
      </c>
    </row>
    <row r="156" spans="1:13" x14ac:dyDescent="0.2">
      <c r="A156" s="4" t="s">
        <v>89</v>
      </c>
      <c r="C156" s="9" t="str">
        <f>CUR_NAME</f>
        <v>млн руб.</v>
      </c>
      <c r="D156" s="20">
        <f ca="1">D145</f>
        <v>0</v>
      </c>
      <c r="E156" s="20">
        <f t="shared" ref="E156:M156" ca="1" si="96">E145</f>
        <v>0</v>
      </c>
      <c r="F156" s="20">
        <f t="shared" ca="1" si="96"/>
        <v>12.692785294436781</v>
      </c>
      <c r="G156" s="20">
        <f t="shared" ca="1" si="96"/>
        <v>27.464097821866929</v>
      </c>
      <c r="H156" s="20">
        <f t="shared" ca="1" si="96"/>
        <v>42.809539010394275</v>
      </c>
      <c r="I156" s="20">
        <f t="shared" ca="1" si="96"/>
        <v>58.751876886462725</v>
      </c>
      <c r="J156" s="20">
        <f t="shared" ca="1" si="96"/>
        <v>75.314790197573899</v>
      </c>
      <c r="K156" s="20">
        <f t="shared" ca="1" si="96"/>
        <v>92.450904841129528</v>
      </c>
      <c r="L156" s="20">
        <f t="shared" ca="1" si="96"/>
        <v>110.25783175042739</v>
      </c>
      <c r="M156" s="20">
        <f t="shared" ca="1" si="96"/>
        <v>128.76220629609716</v>
      </c>
    </row>
    <row r="157" spans="1:13" x14ac:dyDescent="0.2">
      <c r="A157" s="4" t="s">
        <v>90</v>
      </c>
      <c r="C157" s="9" t="str">
        <f>CUR_NAME</f>
        <v>млн руб.</v>
      </c>
      <c r="D157" s="20">
        <f ca="1">SUM(D154:D156)</f>
        <v>6.4109589041095898</v>
      </c>
      <c r="E157" s="20">
        <f t="shared" ref="E157:M157" ca="1" si="97">SUM(E154:E156)</f>
        <v>13.334794520547945</v>
      </c>
      <c r="F157" s="20">
        <f t="shared" ca="1" si="97"/>
        <v>26.560971595806645</v>
      </c>
      <c r="G157" s="20">
        <f t="shared" ca="1" si="97"/>
        <v>41.887011575291588</v>
      </c>
      <c r="H157" s="20">
        <f t="shared" ca="1" si="97"/>
        <v>57.809369313955926</v>
      </c>
      <c r="I157" s="20">
        <f t="shared" ca="1" si="97"/>
        <v>74.351700402166841</v>
      </c>
      <c r="J157" s="20">
        <f t="shared" ca="1" si="97"/>
        <v>91.538606653906186</v>
      </c>
      <c r="K157" s="20">
        <f t="shared" ca="1" si="97"/>
        <v>109.32367395571509</v>
      </c>
      <c r="L157" s="20">
        <f t="shared" ca="1" si="97"/>
        <v>127.80551162959638</v>
      </c>
      <c r="M157" s="20">
        <f t="shared" ca="1" si="97"/>
        <v>147.01179337043291</v>
      </c>
    </row>
    <row r="158" spans="1:13" x14ac:dyDescent="0.2">
      <c r="C158" s="9"/>
      <c r="D158" s="20"/>
      <c r="E158" s="20"/>
      <c r="F158" s="20"/>
      <c r="G158" s="20"/>
      <c r="H158" s="20"/>
      <c r="I158" s="20"/>
      <c r="J158" s="20"/>
      <c r="K158" s="20"/>
      <c r="L158" s="20"/>
      <c r="M158" s="20"/>
    </row>
    <row r="159" spans="1:13" x14ac:dyDescent="0.2">
      <c r="A159" s="28" t="s">
        <v>91</v>
      </c>
      <c r="C159" s="9" t="str">
        <f>CUR_NAME</f>
        <v>млн руб.</v>
      </c>
      <c r="D159" s="13">
        <f ca="1">D152+D157</f>
        <v>12.410958904109588</v>
      </c>
      <c r="E159" s="13">
        <f t="shared" ref="E159:M159" ca="1" si="98">E152+E157</f>
        <v>33.334794520547945</v>
      </c>
      <c r="F159" s="13">
        <f t="shared" ca="1" si="98"/>
        <v>44.810971595806649</v>
      </c>
      <c r="G159" s="13">
        <f t="shared" ca="1" si="98"/>
        <v>58.387011575291588</v>
      </c>
      <c r="H159" s="13">
        <f t="shared" ca="1" si="98"/>
        <v>72.559369313955926</v>
      </c>
      <c r="I159" s="13">
        <f t="shared" ca="1" si="98"/>
        <v>87.351700402166841</v>
      </c>
      <c r="J159" s="13">
        <f t="shared" ca="1" si="98"/>
        <v>102.78860665390619</v>
      </c>
      <c r="K159" s="13">
        <f t="shared" ca="1" si="98"/>
        <v>119.0236739557151</v>
      </c>
      <c r="L159" s="13">
        <f t="shared" ca="1" si="98"/>
        <v>135.95551162959637</v>
      </c>
      <c r="M159" s="13">
        <f t="shared" ca="1" si="98"/>
        <v>153.61179337043291</v>
      </c>
    </row>
    <row r="160" spans="1:13" x14ac:dyDescent="0.2">
      <c r="C160" s="9"/>
      <c r="D160" s="20"/>
      <c r="E160" s="20"/>
      <c r="F160" s="20"/>
      <c r="G160" s="20"/>
      <c r="H160" s="20"/>
      <c r="I160" s="20"/>
      <c r="J160" s="20"/>
      <c r="K160" s="20"/>
      <c r="L160" s="20"/>
      <c r="M160" s="20"/>
    </row>
    <row r="161" spans="1:13" x14ac:dyDescent="0.2">
      <c r="A161" s="4" t="s">
        <v>92</v>
      </c>
      <c r="C161" s="9" t="str">
        <f>CUR_NAME</f>
        <v>млн руб.</v>
      </c>
      <c r="D161" s="20">
        <f t="shared" ref="D161:M161" si="99">D84</f>
        <v>1.7999999999999998</v>
      </c>
      <c r="E161" s="20">
        <f t="shared" si="99"/>
        <v>6</v>
      </c>
      <c r="F161" s="20">
        <f t="shared" si="99"/>
        <v>6</v>
      </c>
      <c r="G161" s="20">
        <f t="shared" si="99"/>
        <v>6</v>
      </c>
      <c r="H161" s="20">
        <f t="shared" si="99"/>
        <v>6</v>
      </c>
      <c r="I161" s="20">
        <f t="shared" si="99"/>
        <v>6</v>
      </c>
      <c r="J161" s="20">
        <f t="shared" si="99"/>
        <v>6</v>
      </c>
      <c r="K161" s="20">
        <f t="shared" si="99"/>
        <v>6</v>
      </c>
      <c r="L161" s="20">
        <f t="shared" si="99"/>
        <v>6</v>
      </c>
      <c r="M161" s="20">
        <f t="shared" si="99"/>
        <v>6</v>
      </c>
    </row>
    <row r="162" spans="1:13" x14ac:dyDescent="0.2">
      <c r="A162" s="4" t="s">
        <v>97</v>
      </c>
      <c r="C162" s="9" t="str">
        <f>CUR_NAME</f>
        <v>млн руб.</v>
      </c>
      <c r="D162" s="20">
        <f ca="1">D123+D140</f>
        <v>8.0584178082191791</v>
      </c>
      <c r="E162" s="20">
        <f ca="1">D162+E123+E140</f>
        <v>21.410898958451266</v>
      </c>
      <c r="F162" s="20">
        <f t="shared" ref="F162:M162" ca="1" si="100">E162+F123+F140</f>
        <v>34.188242828683357</v>
      </c>
      <c r="G162" s="20">
        <f t="shared" ca="1" si="100"/>
        <v>47.579373657483366</v>
      </c>
      <c r="H162" s="20">
        <f t="shared" ca="1" si="100"/>
        <v>61.559425879435366</v>
      </c>
      <c r="I162" s="20">
        <f t="shared" ca="1" si="100"/>
        <v>76.151759230265455</v>
      </c>
      <c r="J162" s="20">
        <f t="shared" ca="1" si="100"/>
        <v>91.380667835128747</v>
      </c>
      <c r="K162" s="20">
        <f t="shared" ca="1" si="100"/>
        <v>107.39941758418658</v>
      </c>
      <c r="L162" s="20">
        <f t="shared" ca="1" si="100"/>
        <v>124.10628500320672</v>
      </c>
      <c r="M162" s="20">
        <f t="shared" ca="1" si="100"/>
        <v>141.52859767898767</v>
      </c>
    </row>
    <row r="163" spans="1:13" x14ac:dyDescent="0.2">
      <c r="A163" s="4" t="s">
        <v>93</v>
      </c>
      <c r="C163" s="9" t="str">
        <f>CUR_NAME</f>
        <v>млн руб.</v>
      </c>
      <c r="D163" s="20">
        <f ca="1">SUM(D161:D162)</f>
        <v>9.8584178082191798</v>
      </c>
      <c r="E163" s="20">
        <f t="shared" ref="E163:M163" ca="1" si="101">SUM(E161:E162)</f>
        <v>27.410898958451266</v>
      </c>
      <c r="F163" s="20">
        <f t="shared" ca="1" si="101"/>
        <v>40.188242828683357</v>
      </c>
      <c r="G163" s="20">
        <f t="shared" ca="1" si="101"/>
        <v>53.579373657483366</v>
      </c>
      <c r="H163" s="20">
        <f t="shared" ca="1" si="101"/>
        <v>67.559425879435366</v>
      </c>
      <c r="I163" s="20">
        <f t="shared" ca="1" si="101"/>
        <v>82.151759230265455</v>
      </c>
      <c r="J163" s="20">
        <f t="shared" ca="1" si="101"/>
        <v>97.380667835128747</v>
      </c>
      <c r="K163" s="20">
        <f t="shared" ca="1" si="101"/>
        <v>113.39941758418658</v>
      </c>
      <c r="L163" s="20">
        <f t="shared" ca="1" si="101"/>
        <v>130.10628500320672</v>
      </c>
      <c r="M163" s="20">
        <f t="shared" ca="1" si="101"/>
        <v>147.52859767898767</v>
      </c>
    </row>
    <row r="164" spans="1:13" x14ac:dyDescent="0.2">
      <c r="C164" s="9"/>
      <c r="D164" s="20"/>
      <c r="E164" s="20"/>
      <c r="F164" s="20"/>
      <c r="G164" s="20"/>
      <c r="H164" s="20"/>
      <c r="I164" s="20"/>
      <c r="J164" s="20"/>
      <c r="K164" s="20"/>
      <c r="L164" s="20"/>
      <c r="M164" s="20"/>
    </row>
    <row r="165" spans="1:13" x14ac:dyDescent="0.2">
      <c r="A165" s="4" t="s">
        <v>94</v>
      </c>
      <c r="C165" s="9" t="str">
        <f>CUR_NAME</f>
        <v>млн руб.</v>
      </c>
      <c r="D165" s="20">
        <f t="shared" ref="D165:M165" ca="1" si="102">D91</f>
        <v>0.41555479452054733</v>
      </c>
      <c r="E165" s="20">
        <f t="shared" ca="1" si="102"/>
        <v>1.4789640552473617</v>
      </c>
      <c r="F165" s="20">
        <f t="shared" ca="1" si="102"/>
        <v>0</v>
      </c>
      <c r="G165" s="20">
        <f t="shared" ca="1" si="102"/>
        <v>0</v>
      </c>
      <c r="H165" s="20">
        <f t="shared" ca="1" si="102"/>
        <v>0</v>
      </c>
      <c r="I165" s="20">
        <f t="shared" ca="1" si="102"/>
        <v>0</v>
      </c>
      <c r="J165" s="20">
        <f t="shared" ca="1" si="102"/>
        <v>0</v>
      </c>
      <c r="K165" s="20">
        <f t="shared" ca="1" si="102"/>
        <v>0</v>
      </c>
      <c r="L165" s="20">
        <f t="shared" ca="1" si="102"/>
        <v>0</v>
      </c>
      <c r="M165" s="20">
        <f t="shared" ca="1" si="102"/>
        <v>0</v>
      </c>
    </row>
    <row r="166" spans="1:13" x14ac:dyDescent="0.2">
      <c r="A166" s="4" t="s">
        <v>34</v>
      </c>
      <c r="C166" s="9" t="str">
        <f>CUR_NAME</f>
        <v>млн руб.</v>
      </c>
      <c r="D166" s="20">
        <f t="shared" ref="D166:M166" si="103">D42</f>
        <v>2.1369863013698631</v>
      </c>
      <c r="E166" s="20">
        <f t="shared" si="103"/>
        <v>4.4449315068493149</v>
      </c>
      <c r="F166" s="20">
        <f t="shared" si="103"/>
        <v>4.622728767123288</v>
      </c>
      <c r="G166" s="20">
        <f t="shared" si="103"/>
        <v>4.8076379178082203</v>
      </c>
      <c r="H166" s="20">
        <f t="shared" si="103"/>
        <v>4.9999434345205493</v>
      </c>
      <c r="I166" s="20">
        <f t="shared" si="103"/>
        <v>5.1999411719013713</v>
      </c>
      <c r="J166" s="20">
        <f t="shared" si="103"/>
        <v>5.4079388187774269</v>
      </c>
      <c r="K166" s="20">
        <f t="shared" si="103"/>
        <v>5.6242563715285234</v>
      </c>
      <c r="L166" s="20">
        <f t="shared" si="103"/>
        <v>5.8492266263896653</v>
      </c>
      <c r="M166" s="20">
        <f t="shared" si="103"/>
        <v>6.0831956914452521</v>
      </c>
    </row>
    <row r="167" spans="1:13" x14ac:dyDescent="0.2">
      <c r="C167" s="9"/>
      <c r="D167" s="20"/>
      <c r="E167" s="20"/>
      <c r="F167" s="20"/>
      <c r="G167" s="20"/>
      <c r="H167" s="20"/>
      <c r="I167" s="20"/>
      <c r="J167" s="20"/>
      <c r="K167" s="20"/>
      <c r="L167" s="20"/>
      <c r="M167" s="20"/>
    </row>
    <row r="168" spans="1:13" x14ac:dyDescent="0.2">
      <c r="A168" s="28" t="s">
        <v>95</v>
      </c>
      <c r="C168" s="9" t="str">
        <f>CUR_NAME</f>
        <v>млн руб.</v>
      </c>
      <c r="D168" s="13">
        <f ca="1">D163+D165+D166</f>
        <v>12.41095890410959</v>
      </c>
      <c r="E168" s="13">
        <f t="shared" ref="E168:M168" ca="1" si="104">E163+E165+E166</f>
        <v>33.334794520547945</v>
      </c>
      <c r="F168" s="13">
        <f t="shared" ca="1" si="104"/>
        <v>44.810971595806649</v>
      </c>
      <c r="G168" s="13">
        <f t="shared" ca="1" si="104"/>
        <v>58.387011575291588</v>
      </c>
      <c r="H168" s="13">
        <f t="shared" ca="1" si="104"/>
        <v>72.559369313955912</v>
      </c>
      <c r="I168" s="13">
        <f t="shared" ca="1" si="104"/>
        <v>87.351700402166827</v>
      </c>
      <c r="J168" s="13">
        <f t="shared" ca="1" si="104"/>
        <v>102.78860665390617</v>
      </c>
      <c r="K168" s="13">
        <f t="shared" ca="1" si="104"/>
        <v>119.0236739557151</v>
      </c>
      <c r="L168" s="13">
        <f t="shared" ca="1" si="104"/>
        <v>135.9555116295964</v>
      </c>
      <c r="M168" s="13">
        <f t="shared" ca="1" si="104"/>
        <v>153.61179337043291</v>
      </c>
    </row>
    <row r="169" spans="1:13" x14ac:dyDescent="0.2">
      <c r="A169" s="4" t="s">
        <v>96</v>
      </c>
      <c r="B169" s="9" t="str">
        <f ca="1">IF(ABS(SUM(D169:M169))&lt;0.001, "OK", "Ошибка")</f>
        <v>OK</v>
      </c>
      <c r="D169" s="20">
        <f ca="1">D159-D168</f>
        <v>0</v>
      </c>
      <c r="E169" s="20">
        <f t="shared" ref="E169:M169" ca="1" si="105">E159-E168</f>
        <v>0</v>
      </c>
      <c r="F169" s="20">
        <f t="shared" ca="1" si="105"/>
        <v>0</v>
      </c>
      <c r="G169" s="20">
        <f t="shared" ca="1" si="105"/>
        <v>0</v>
      </c>
      <c r="H169" s="20">
        <f t="shared" ca="1" si="105"/>
        <v>0</v>
      </c>
      <c r="I169" s="20">
        <f t="shared" ca="1" si="105"/>
        <v>0</v>
      </c>
      <c r="J169" s="20">
        <f t="shared" ca="1" si="105"/>
        <v>0</v>
      </c>
      <c r="K169" s="20">
        <f t="shared" ca="1" si="105"/>
        <v>0</v>
      </c>
      <c r="L169" s="20">
        <f t="shared" ca="1" si="105"/>
        <v>0</v>
      </c>
      <c r="M169" s="20">
        <f t="shared" ca="1" si="105"/>
        <v>0</v>
      </c>
    </row>
    <row r="171" spans="1:13" s="16" customFormat="1" ht="20.100000000000001" customHeight="1" thickBot="1" x14ac:dyDescent="0.3">
      <c r="A171" s="14" t="s">
        <v>87</v>
      </c>
      <c r="B171" s="14"/>
      <c r="C171" s="14"/>
      <c r="D171" s="15" t="str">
        <f>D$2</f>
        <v>Год 1</v>
      </c>
      <c r="E171" s="15" t="str">
        <f t="shared" ref="E171:M171" si="106">E$2</f>
        <v>Год 2</v>
      </c>
      <c r="F171" s="15" t="str">
        <f t="shared" si="106"/>
        <v>Год 3</v>
      </c>
      <c r="G171" s="15" t="str">
        <f t="shared" si="106"/>
        <v>Год 4</v>
      </c>
      <c r="H171" s="15" t="str">
        <f t="shared" si="106"/>
        <v>Год 5</v>
      </c>
      <c r="I171" s="15" t="str">
        <f t="shared" si="106"/>
        <v>Год 6</v>
      </c>
      <c r="J171" s="15" t="str">
        <f t="shared" si="106"/>
        <v>Год 7</v>
      </c>
      <c r="K171" s="15" t="str">
        <f t="shared" si="106"/>
        <v>Год 8</v>
      </c>
      <c r="L171" s="15" t="str">
        <f t="shared" si="106"/>
        <v>Год 9</v>
      </c>
      <c r="M171" s="15" t="str">
        <f t="shared" si="106"/>
        <v>Год 10</v>
      </c>
    </row>
    <row r="173" spans="1:13" x14ac:dyDescent="0.2">
      <c r="A173" s="4" t="s">
        <v>105</v>
      </c>
      <c r="C173" s="9" t="str">
        <f>CUR_NAME</f>
        <v>млн руб.</v>
      </c>
      <c r="D173" s="20">
        <f ca="1">D130+D135+D138+D139</f>
        <v>-1.7999999999999998</v>
      </c>
      <c r="E173" s="20">
        <f t="shared" ref="E173:M173" ca="1" si="107">E130+E135+E138+E139</f>
        <v>-0.86187971244197747</v>
      </c>
      <c r="F173" s="20">
        <f t="shared" ca="1" si="107"/>
        <v>15.887121261994805</v>
      </c>
      <c r="G173" s="20">
        <f t="shared" ca="1" si="107"/>
        <v>18.119095234630148</v>
      </c>
      <c r="H173" s="20">
        <f t="shared" ca="1" si="107"/>
        <v>18.840454244015344</v>
      </c>
      <c r="I173" s="20">
        <f t="shared" ca="1" si="107"/>
        <v>19.590421213775969</v>
      </c>
      <c r="J173" s="20">
        <f t="shared" ca="1" si="107"/>
        <v>20.370140462327004</v>
      </c>
      <c r="K173" s="20">
        <f t="shared" ca="1" si="107"/>
        <v>21.140802080820087</v>
      </c>
      <c r="L173" s="20">
        <f t="shared" ca="1" si="107"/>
        <v>21.983643764052886</v>
      </c>
      <c r="M173" s="20">
        <f t="shared" ca="1" si="107"/>
        <v>22.859952714615005</v>
      </c>
    </row>
    <row r="174" spans="1:13" x14ac:dyDescent="0.2">
      <c r="A174" s="4" t="s">
        <v>106</v>
      </c>
      <c r="B174" s="29">
        <v>0.15</v>
      </c>
      <c r="D174" s="11">
        <f>$B$174</f>
        <v>0.15</v>
      </c>
      <c r="E174" s="11">
        <f t="shared" ref="E174:M174" si="108">$B$174</f>
        <v>0.15</v>
      </c>
      <c r="F174" s="11">
        <f t="shared" si="108"/>
        <v>0.15</v>
      </c>
      <c r="G174" s="11">
        <f t="shared" si="108"/>
        <v>0.15</v>
      </c>
      <c r="H174" s="11">
        <f t="shared" si="108"/>
        <v>0.15</v>
      </c>
      <c r="I174" s="11">
        <f t="shared" si="108"/>
        <v>0.15</v>
      </c>
      <c r="J174" s="11">
        <f t="shared" si="108"/>
        <v>0.15</v>
      </c>
      <c r="K174" s="11">
        <f t="shared" si="108"/>
        <v>0.15</v>
      </c>
      <c r="L174" s="11">
        <f t="shared" si="108"/>
        <v>0.15</v>
      </c>
      <c r="M174" s="11">
        <f t="shared" si="108"/>
        <v>0.15</v>
      </c>
    </row>
    <row r="175" spans="1:13" x14ac:dyDescent="0.2">
      <c r="A175" s="4" t="s">
        <v>107</v>
      </c>
      <c r="C175" s="9" t="s">
        <v>64</v>
      </c>
      <c r="D175" s="31">
        <v>1</v>
      </c>
      <c r="E175" s="31">
        <f>D175/(1+D174)</f>
        <v>0.86956521739130443</v>
      </c>
      <c r="F175" s="31">
        <f t="shared" ref="F175:M175" si="109">E175/(1+E174)</f>
        <v>0.7561436672967865</v>
      </c>
      <c r="G175" s="31">
        <f t="shared" si="109"/>
        <v>0.65751623243198831</v>
      </c>
      <c r="H175" s="31">
        <f t="shared" si="109"/>
        <v>0.57175324559303331</v>
      </c>
      <c r="I175" s="31">
        <f t="shared" si="109"/>
        <v>0.49717673529828987</v>
      </c>
      <c r="J175" s="31">
        <f t="shared" si="109"/>
        <v>0.43232759591155645</v>
      </c>
      <c r="K175" s="31">
        <f t="shared" si="109"/>
        <v>0.37593703992309258</v>
      </c>
      <c r="L175" s="31">
        <f t="shared" si="109"/>
        <v>0.32690177384616748</v>
      </c>
      <c r="M175" s="31">
        <f t="shared" si="109"/>
        <v>0.28426241204014563</v>
      </c>
    </row>
    <row r="176" spans="1:13" x14ac:dyDescent="0.2">
      <c r="A176" s="4" t="s">
        <v>108</v>
      </c>
      <c r="C176" s="9" t="str">
        <f>CUR_NAME</f>
        <v>млн руб.</v>
      </c>
      <c r="D176" s="20">
        <f ca="1">D173*D175</f>
        <v>-1.7999999999999998</v>
      </c>
      <c r="E176" s="20">
        <f t="shared" ref="E176:M176" ca="1" si="110">E173*E175</f>
        <v>-0.74946061951476306</v>
      </c>
      <c r="F176" s="20">
        <f t="shared" ca="1" si="110"/>
        <v>12.012946133833502</v>
      </c>
      <c r="G176" s="20">
        <f t="shared" ca="1" si="110"/>
        <v>11.913599233750409</v>
      </c>
      <c r="H176" s="20">
        <f t="shared" ca="1" si="110"/>
        <v>10.772090862462813</v>
      </c>
      <c r="I176" s="20">
        <f t="shared" ca="1" si="110"/>
        <v>9.7399016621834971</v>
      </c>
      <c r="J176" s="20">
        <f t="shared" ca="1" si="110"/>
        <v>8.8065738544585557</v>
      </c>
      <c r="K176" s="20">
        <f t="shared" ca="1" si="110"/>
        <v>7.9476105558634602</v>
      </c>
      <c r="L176" s="20">
        <f t="shared" ca="1" si="110"/>
        <v>7.1864921420711267</v>
      </c>
      <c r="M176" s="20">
        <f t="shared" ca="1" si="110"/>
        <v>6.4982252977801362</v>
      </c>
    </row>
    <row r="178" spans="1:13" x14ac:dyDescent="0.2">
      <c r="A178" s="4" t="s">
        <v>109</v>
      </c>
      <c r="B178" s="32">
        <f ca="1">SUM(D176:M176)</f>
        <v>72.327979122888749</v>
      </c>
      <c r="C178" s="9" t="str">
        <f>CUR_NAME</f>
        <v>млн руб.</v>
      </c>
    </row>
    <row r="179" spans="1:13" x14ac:dyDescent="0.2">
      <c r="A179" s="4" t="s">
        <v>110</v>
      </c>
      <c r="B179" s="33">
        <f ca="1">IRR(D173:M173)</f>
        <v>2.3892108847481586</v>
      </c>
      <c r="C179" s="9" t="s">
        <v>11</v>
      </c>
    </row>
    <row r="181" spans="1:13" x14ac:dyDescent="0.2">
      <c r="A181" s="4" t="s">
        <v>111</v>
      </c>
      <c r="C181" s="9" t="str">
        <f>CUR_NAME</f>
        <v>млн руб.</v>
      </c>
      <c r="D181" s="20">
        <f ca="1">D173</f>
        <v>-1.7999999999999998</v>
      </c>
      <c r="E181" s="20">
        <f ca="1">D181+E173</f>
        <v>-2.6618797124419773</v>
      </c>
      <c r="F181" s="20">
        <f t="shared" ref="F181:M181" ca="1" si="111">E181+F173</f>
        <v>13.225241549552827</v>
      </c>
      <c r="G181" s="20">
        <f t="shared" ca="1" si="111"/>
        <v>31.344336784182975</v>
      </c>
      <c r="H181" s="20">
        <f t="shared" ca="1" si="111"/>
        <v>50.184791028198319</v>
      </c>
      <c r="I181" s="20">
        <f t="shared" ca="1" si="111"/>
        <v>69.775212241974288</v>
      </c>
      <c r="J181" s="20">
        <f t="shared" ca="1" si="111"/>
        <v>90.145352704301288</v>
      </c>
      <c r="K181" s="20">
        <f t="shared" ca="1" si="111"/>
        <v>111.28615478512137</v>
      </c>
      <c r="L181" s="20">
        <f t="shared" ca="1" si="111"/>
        <v>133.26979854917425</v>
      </c>
      <c r="M181" s="20">
        <f t="shared" ca="1" si="111"/>
        <v>156.12975126378927</v>
      </c>
    </row>
    <row r="182" spans="1:13" x14ac:dyDescent="0.2">
      <c r="A182" s="4" t="s">
        <v>112</v>
      </c>
      <c r="C182" s="9" t="str">
        <f>CUR_NAME</f>
        <v>млн руб.</v>
      </c>
      <c r="D182" s="20">
        <f ca="1">D176</f>
        <v>-1.7999999999999998</v>
      </c>
      <c r="E182" s="20">
        <f ca="1">D182+E176</f>
        <v>-2.5494606195147629</v>
      </c>
      <c r="F182" s="20">
        <f t="shared" ref="F182:M182" ca="1" si="112">E182+F176</f>
        <v>9.4634855143187391</v>
      </c>
      <c r="G182" s="20">
        <f t="shared" ca="1" si="112"/>
        <v>21.377084748069148</v>
      </c>
      <c r="H182" s="20">
        <f t="shared" ca="1" si="112"/>
        <v>32.149175610531962</v>
      </c>
      <c r="I182" s="20">
        <f t="shared" ca="1" si="112"/>
        <v>41.889077272715461</v>
      </c>
      <c r="J182" s="20">
        <f t="shared" ca="1" si="112"/>
        <v>50.695651127174017</v>
      </c>
      <c r="K182" s="20">
        <f t="shared" ca="1" si="112"/>
        <v>58.64326168303748</v>
      </c>
      <c r="L182" s="20">
        <f t="shared" ca="1" si="112"/>
        <v>65.829753825108611</v>
      </c>
      <c r="M182" s="20">
        <f t="shared" ca="1" si="112"/>
        <v>72.327979122888749</v>
      </c>
    </row>
  </sheetData>
  <mergeCells count="1">
    <mergeCell ref="A1:A2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CUR_NAME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Рябых</dc:creator>
  <cp:lastModifiedBy>Irina Koltsova</cp:lastModifiedBy>
  <dcterms:created xsi:type="dcterms:W3CDTF">2021-10-04T15:31:37Z</dcterms:created>
  <dcterms:modified xsi:type="dcterms:W3CDTF">2021-11-29T05:15:48Z</dcterms:modified>
</cp:coreProperties>
</file>